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mage\Önkormányzati költségvetés\Költségvetés-2022\Módosítás\2023.02\MÓD 20220222\Rendelet\"/>
    </mc:Choice>
  </mc:AlternateContent>
  <xr:revisionPtr revIDLastSave="0" documentId="13_ncr:1_{124B965B-003F-421F-A093-1E380942BC86}" xr6:coauthVersionLast="47" xr6:coauthVersionMax="47" xr10:uidLastSave="{00000000-0000-0000-0000-000000000000}"/>
  <bookViews>
    <workbookView xWindow="-120" yWindow="-120" windowWidth="20730" windowHeight="11160" tabRatio="816" firstSheet="1" activeTab="1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r:id="rId11"/>
    <sheet name="10.sz.mell." sheetId="1418" state="hidden" r:id="rId12"/>
    <sheet name="11.sz.mell. Beruházás" sheetId="1419" r:id="rId13"/>
    <sheet name="12.sz.mell. Felújítás" sheetId="1420" r:id="rId14"/>
    <sheet name="13.sz.mell. EU" sheetId="1480" state="hidden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r:id="rId20"/>
    <sheet name="19. sz. mell PH." sheetId="1432" state="hidden" r:id="rId21"/>
    <sheet name="20. sz. mell. PH." sheetId="1433" r:id="rId22"/>
    <sheet name="21. sz. mell EOI" sheetId="1462" r:id="rId23"/>
    <sheet name="22. sz. mell EOI" sheetId="1463" r:id="rId24"/>
    <sheet name="23.sz.mell EOI" sheetId="1464" state="hidden" r:id="rId25"/>
    <sheet name="24. sz. mell EKIK" sheetId="1465" r:id="rId26"/>
    <sheet name="25. sz. mell EKIK" sheetId="1466" r:id="rId27"/>
    <sheet name="26. sz. mell EKIK" sheetId="1467" r:id="rId28"/>
    <sheet name="27. sz. mell Kornisné Kp." sheetId="1471" r:id="rId29"/>
    <sheet name="28. sz. mell Kornisné Kp. " sheetId="1472" state="hidden" r:id="rId30"/>
    <sheet name="29. sz. mell Kornisné Kp." sheetId="1473" r:id="rId31"/>
    <sheet name="30. sz. mell Kornisné Kp " sheetId="1474" state="hidden" r:id="rId32"/>
    <sheet name="31. sz. mell TIB  " sheetId="1475" r:id="rId33"/>
    <sheet name="32. sz. mell TIB  " sheetId="1476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state="hidden" r:id="rId40"/>
    <sheet name="39.sz.m. (4.sz tájékoztató t )" sheetId="1455" r:id="rId41"/>
    <sheet name="40.sz.m. (5.sz. tájékoztató)" sheetId="1456" r:id="rId42"/>
    <sheet name="41.sz.m. (6.sz tájékoztató t )" sheetId="1457" state="hidden" r:id="rId43"/>
    <sheet name="42.sz.m. (7.sz táj. feladatos)" sheetId="1458" r:id="rId44"/>
    <sheet name="43.sz.m. (8.sz tájéloztató)" sheetId="1459" state="hidden" r:id="rId45"/>
    <sheet name="44. sz.m. (9.sz tájékoztató)" sheetId="1478" state="hidden" r:id="rId46"/>
  </sheets>
  <externalReferences>
    <externalReference r:id="rId47"/>
  </externalReferences>
  <definedNames>
    <definedName name="_xlnm.Print_Area" localSheetId="18">'17. sz. mell. PH.'!$A$1:$E$60</definedName>
    <definedName name="_xlnm.Print_Area" localSheetId="45">'44. sz.m. (9.sz tájékoztató)'!$A$1:$E$21</definedName>
    <definedName name="Print_Area" localSheetId="1">'1. sz.mell. '!$A$1:$C$164</definedName>
    <definedName name="Print_Area" localSheetId="12">'11.sz.mell. Beruházás'!$A$1:$G$58</definedName>
    <definedName name="Print_Area" localSheetId="13">'12.sz.mell. Felújítás'!$A$1:$G$29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tájékoztató)'!$A$1:$D$52</definedName>
    <definedName name="Print_Area" localSheetId="43">'42.sz.m. (7.sz táj. feladatos)'!$A$1:$N$71</definedName>
    <definedName name="Print_Area" localSheetId="45">'44. sz.m. (9.sz tájékoztató)'!$A$1:$E$21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</workbook>
</file>

<file path=xl/calcChain.xml><?xml version="1.0" encoding="utf-8"?>
<calcChain xmlns="http://schemas.openxmlformats.org/spreadsheetml/2006/main">
  <c r="I36" i="1458" l="1"/>
  <c r="I44" i="1458"/>
  <c r="C11" i="1458"/>
  <c r="N20" i="1455"/>
  <c r="N11" i="1455"/>
  <c r="C95" i="1428"/>
  <c r="C95" i="1427"/>
  <c r="D102" i="1358"/>
  <c r="D102" i="1357"/>
  <c r="A1" i="1458" l="1"/>
  <c r="A1" i="1456"/>
  <c r="A1" i="1455"/>
  <c r="A1" i="1452"/>
  <c r="A1" i="1451"/>
  <c r="A1" i="1450"/>
  <c r="A1" i="1476"/>
  <c r="A1" i="1475"/>
  <c r="A1" i="1473"/>
  <c r="A1" i="1471"/>
  <c r="A1" i="1467"/>
  <c r="A1" i="1466"/>
  <c r="A1" i="1465"/>
  <c r="A1" i="1463"/>
  <c r="A1" i="1462"/>
  <c r="A1" i="1433"/>
  <c r="A1" i="1431"/>
  <c r="A1" i="1430"/>
  <c r="A1" i="1429"/>
  <c r="A1" i="1428"/>
  <c r="A1" i="1427"/>
  <c r="A1" i="1420"/>
  <c r="J11" i="1458"/>
  <c r="I64" i="1458"/>
  <c r="I34" i="1458"/>
  <c r="I11" i="1458"/>
  <c r="N19" i="1455"/>
  <c r="N24" i="1455"/>
  <c r="C115" i="1427"/>
  <c r="C116" i="1427"/>
  <c r="C116" i="1428"/>
  <c r="D123" i="1358"/>
  <c r="D121" i="1358"/>
  <c r="D123" i="1357"/>
  <c r="D121" i="1357"/>
  <c r="D118" i="1357"/>
  <c r="A1" i="1419" l="1"/>
  <c r="A1" i="1417"/>
  <c r="F2" i="1362"/>
  <c r="F1" i="1361"/>
  <c r="A1" i="1360"/>
  <c r="A1" i="1359"/>
  <c r="A1" i="1358"/>
  <c r="A1" i="1357"/>
  <c r="A1" i="1454"/>
  <c r="A1" i="1474"/>
  <c r="A1" i="1472"/>
  <c r="A1" i="1432"/>
  <c r="C21" i="1458" l="1"/>
  <c r="D21" i="1458"/>
  <c r="I9" i="1458"/>
  <c r="C13" i="1458"/>
  <c r="I29" i="1458"/>
  <c r="I13" i="1458"/>
  <c r="M68" i="1458"/>
  <c r="I68" i="1458"/>
  <c r="E67" i="1458"/>
  <c r="I65" i="1458"/>
  <c r="I62" i="1458"/>
  <c r="C38" i="1458"/>
  <c r="I38" i="1458"/>
  <c r="J36" i="1458"/>
  <c r="I21" i="1458"/>
  <c r="I12" i="1458"/>
  <c r="D101" i="1358"/>
  <c r="D100" i="1358"/>
  <c r="D101" i="1357"/>
  <c r="D32" i="1456" l="1"/>
  <c r="D43" i="1456"/>
  <c r="D36" i="1456"/>
  <c r="D35" i="1456"/>
  <c r="D31" i="1456"/>
  <c r="D29" i="1456"/>
  <c r="D18" i="1456"/>
  <c r="D17" i="1456"/>
  <c r="D16" i="1456"/>
  <c r="D15" i="1456"/>
  <c r="C40" i="1466" l="1"/>
  <c r="N26" i="1455"/>
  <c r="N23" i="1455"/>
  <c r="N22" i="1455"/>
  <c r="N21" i="1455"/>
  <c r="N18" i="1455"/>
  <c r="N15" i="1455"/>
  <c r="N13" i="1455"/>
  <c r="N10" i="1455"/>
  <c r="N8" i="1455"/>
  <c r="N7" i="1455"/>
  <c r="C48" i="1466"/>
  <c r="C48" i="1467"/>
  <c r="C50" i="1467"/>
  <c r="B13" i="1451"/>
  <c r="B11" i="1451"/>
  <c r="C46" i="1463"/>
  <c r="C40" i="1463"/>
  <c r="C45" i="1462"/>
  <c r="C39" i="1462"/>
  <c r="C40" i="1431" l="1"/>
  <c r="C47" i="1431"/>
  <c r="C46" i="1431"/>
  <c r="C47" i="1430"/>
  <c r="C46" i="1430"/>
  <c r="D100" i="1357"/>
  <c r="C40" i="1465"/>
  <c r="C40" i="1475"/>
  <c r="C44" i="1476"/>
  <c r="C46" i="1476"/>
  <c r="C40" i="1430"/>
  <c r="C44" i="1475"/>
  <c r="C46" i="1475"/>
  <c r="C48" i="1465"/>
  <c r="C50" i="1463"/>
  <c r="C45" i="1463"/>
  <c r="C44" i="1463"/>
  <c r="C49" i="1462"/>
  <c r="C44" i="1462"/>
  <c r="C43" i="1462"/>
  <c r="C46" i="1433"/>
  <c r="C52" i="1433"/>
  <c r="C48" i="1433"/>
  <c r="C47" i="1433"/>
  <c r="C52" i="1430"/>
  <c r="C48" i="1430"/>
  <c r="C114" i="1428"/>
  <c r="C95" i="1429"/>
  <c r="C94" i="1429"/>
  <c r="C93" i="1429"/>
  <c r="C21" i="1428"/>
  <c r="C114" i="1429"/>
  <c r="C21" i="1429"/>
  <c r="C111" i="1428"/>
  <c r="C109" i="1428"/>
  <c r="C98" i="1428"/>
  <c r="C96" i="1428"/>
  <c r="C94" i="1428"/>
  <c r="C93" i="1428"/>
  <c r="C79" i="1428"/>
  <c r="C33" i="1428"/>
  <c r="C11" i="1429" l="1"/>
  <c r="C11" i="1428"/>
  <c r="D25" i="1359"/>
  <c r="D15" i="1359"/>
  <c r="D25" i="1358"/>
  <c r="D15" i="1358"/>
  <c r="C14" i="1428" l="1"/>
  <c r="C12" i="1428"/>
  <c r="C9" i="1428"/>
  <c r="C112" i="1428"/>
  <c r="C111" i="1427"/>
  <c r="C114" i="1427"/>
  <c r="C112" i="1427"/>
  <c r="C109" i="1427"/>
  <c r="C98" i="1427"/>
  <c r="C96" i="1427"/>
  <c r="C94" i="1427"/>
  <c r="C93" i="1427"/>
  <c r="C21" i="1427"/>
  <c r="C79" i="1427"/>
  <c r="C63" i="1427"/>
  <c r="C58" i="1427"/>
  <c r="C33" i="1427"/>
  <c r="C14" i="1427"/>
  <c r="C12" i="1427"/>
  <c r="C11" i="1427"/>
  <c r="C9" i="1427"/>
  <c r="F12" i="1419"/>
  <c r="B12" i="1419"/>
  <c r="B39" i="1419"/>
  <c r="F39" i="1419"/>
  <c r="F38" i="1419"/>
  <c r="B38" i="1419"/>
  <c r="F42" i="1419"/>
  <c r="B42" i="1419"/>
  <c r="C7" i="1417"/>
  <c r="A4" i="1357"/>
  <c r="D102" i="1359"/>
  <c r="C122" i="1360"/>
  <c r="C103" i="1360"/>
  <c r="C102" i="1360"/>
  <c r="C101" i="1360"/>
  <c r="D121" i="1359"/>
  <c r="D101" i="1359"/>
  <c r="D100" i="1359"/>
  <c r="D67" i="1359"/>
  <c r="D52" i="1359"/>
  <c r="D46" i="1359"/>
  <c r="D119" i="1358"/>
  <c r="D118" i="1358"/>
  <c r="D116" i="1358"/>
  <c r="D105" i="1358"/>
  <c r="D103" i="1358"/>
  <c r="D83" i="1358"/>
  <c r="D67" i="1358"/>
  <c r="D62" i="1358"/>
  <c r="D37" i="1358"/>
  <c r="D18" i="1358"/>
  <c r="D16" i="1358"/>
  <c r="D13" i="1358"/>
  <c r="D119" i="1357"/>
  <c r="D116" i="1357"/>
  <c r="D105" i="1357"/>
  <c r="D103" i="1357"/>
  <c r="D83" i="1357"/>
  <c r="D67" i="1357"/>
  <c r="D62" i="1357"/>
  <c r="D52" i="1357"/>
  <c r="D46" i="1357"/>
  <c r="D37" i="1357"/>
  <c r="D25" i="1357"/>
  <c r="D18" i="1357"/>
  <c r="D16" i="1357"/>
  <c r="D15" i="1357"/>
  <c r="D13" i="1357"/>
  <c r="C104" i="1427"/>
  <c r="C109" i="1429"/>
  <c r="C126" i="1429"/>
  <c r="C126" i="1428"/>
  <c r="C126" i="1427"/>
  <c r="F50" i="1419"/>
  <c r="B50" i="1419"/>
  <c r="C50" i="1473"/>
  <c r="C40" i="1473"/>
  <c r="C18" i="1473"/>
  <c r="C12" i="1473"/>
  <c r="C40" i="1471"/>
  <c r="C18" i="1471"/>
  <c r="C12" i="1471"/>
  <c r="C50" i="1471"/>
  <c r="I52" i="1458" l="1"/>
  <c r="J52" i="1458"/>
  <c r="C115" i="1428"/>
  <c r="D18" i="1480"/>
  <c r="D21" i="1480"/>
  <c r="F14" i="1419"/>
  <c r="B14" i="1419"/>
  <c r="D122" i="1358"/>
  <c r="D122" i="1357"/>
  <c r="A1" i="1480"/>
  <c r="B18" i="1451"/>
  <c r="J59" i="1458" l="1"/>
  <c r="J57" i="1458"/>
  <c r="J58" i="1458"/>
  <c r="J24" i="1458"/>
  <c r="I24" i="1458"/>
  <c r="J20" i="1458"/>
  <c r="J21" i="1458"/>
  <c r="J40" i="1458"/>
  <c r="J38" i="1458"/>
  <c r="J19" i="1458"/>
  <c r="I19" i="1458"/>
  <c r="F68" i="1458"/>
  <c r="L68" i="1458"/>
  <c r="J63" i="1458"/>
  <c r="I63" i="1458"/>
  <c r="I23" i="1458"/>
  <c r="I33" i="1458"/>
  <c r="J33" i="1458"/>
  <c r="D33" i="1458"/>
  <c r="D45" i="1456"/>
  <c r="D44" i="1456"/>
  <c r="D40" i="1456"/>
  <c r="D37" i="1456"/>
  <c r="D27" i="1456"/>
  <c r="N27" i="1455"/>
  <c r="M20" i="1455"/>
  <c r="L18" i="1455"/>
  <c r="M18" i="1455"/>
  <c r="K18" i="1455"/>
  <c r="J18" i="1455"/>
  <c r="M13" i="1455"/>
  <c r="M11" i="1455"/>
  <c r="M9" i="1455"/>
  <c r="N9" i="1455"/>
  <c r="C40" i="1476"/>
  <c r="C50" i="1476"/>
  <c r="C50" i="1475"/>
  <c r="C46" i="1473"/>
  <c r="C45" i="1473"/>
  <c r="C44" i="1473"/>
  <c r="C22" i="1473"/>
  <c r="C46" i="1471"/>
  <c r="C45" i="1471"/>
  <c r="C44" i="1471"/>
  <c r="C22" i="1471"/>
  <c r="C40" i="1433"/>
  <c r="C48" i="1431"/>
  <c r="C116" i="1429"/>
  <c r="C130" i="1428"/>
  <c r="C117" i="1428"/>
  <c r="C68" i="1428"/>
  <c r="C43" i="1428"/>
  <c r="C40" i="1428"/>
  <c r="C29" i="1428"/>
  <c r="C28" i="1428"/>
  <c r="C10" i="1428"/>
  <c r="C130" i="1427"/>
  <c r="C117" i="1427"/>
  <c r="C68" i="1427"/>
  <c r="C43" i="1427"/>
  <c r="C40" i="1427"/>
  <c r="C29" i="1427"/>
  <c r="C28" i="1427"/>
  <c r="D100" i="1480"/>
  <c r="D92" i="1480"/>
  <c r="D80" i="1480"/>
  <c r="D72" i="1480"/>
  <c r="D79" i="1480"/>
  <c r="D74" i="1480"/>
  <c r="F19" i="1420"/>
  <c r="B19" i="1420"/>
  <c r="G25" i="1420"/>
  <c r="B21" i="1419"/>
  <c r="E21" i="1419"/>
  <c r="F16" i="1420"/>
  <c r="B16" i="1420"/>
  <c r="F18" i="1420"/>
  <c r="B18" i="1420"/>
  <c r="B17" i="1420"/>
  <c r="E17" i="1420"/>
  <c r="F17" i="1420"/>
  <c r="F22" i="1419"/>
  <c r="B22" i="1419"/>
  <c r="F23" i="1419"/>
  <c r="B23" i="1419"/>
  <c r="F21" i="1419"/>
  <c r="F25" i="1419"/>
  <c r="B25" i="1419"/>
  <c r="F8" i="1420" l="1"/>
  <c r="B8" i="1420"/>
  <c r="F56" i="1419"/>
  <c r="B56" i="1419"/>
  <c r="F54" i="1419"/>
  <c r="F55" i="1419"/>
  <c r="B55" i="1419"/>
  <c r="F27" i="1419"/>
  <c r="B27" i="1419"/>
  <c r="D33" i="1358"/>
  <c r="D32" i="1358"/>
  <c r="D26" i="1358"/>
  <c r="D123" i="1359"/>
  <c r="D124" i="1358"/>
  <c r="D137" i="1358"/>
  <c r="D72" i="1358"/>
  <c r="D47" i="1358"/>
  <c r="D44" i="1358"/>
  <c r="D137" i="1357"/>
  <c r="D124" i="1357"/>
  <c r="D72" i="1357"/>
  <c r="D47" i="1357"/>
  <c r="D44" i="1357"/>
  <c r="D33" i="1357"/>
  <c r="D32" i="1357"/>
  <c r="J34" i="1458"/>
  <c r="A1" i="1453"/>
  <c r="A1" i="1418"/>
  <c r="A1" i="1416"/>
  <c r="C67" i="1428"/>
  <c r="C67" i="1427"/>
  <c r="F28" i="1419"/>
  <c r="D71" i="1358"/>
  <c r="D71" i="1357"/>
  <c r="B54" i="1419" l="1"/>
  <c r="G56" i="1419"/>
  <c r="C36" i="1458"/>
  <c r="J55" i="1458"/>
  <c r="D13" i="1458"/>
  <c r="J47" i="1458"/>
  <c r="J51" i="1458"/>
  <c r="I51" i="1458"/>
  <c r="C49" i="1458"/>
  <c r="H19" i="1458"/>
  <c r="K25" i="1455"/>
  <c r="M23" i="1455"/>
  <c r="J22" i="1455"/>
  <c r="L20" i="1455"/>
  <c r="K20" i="1455"/>
  <c r="M19" i="1455"/>
  <c r="L19" i="1455"/>
  <c r="K19" i="1455"/>
  <c r="L11" i="1455"/>
  <c r="F8" i="1455"/>
  <c r="F7" i="1455"/>
  <c r="H23" i="1453"/>
  <c r="C52" i="1466"/>
  <c r="C47" i="1466"/>
  <c r="C46" i="1466"/>
  <c r="C52" i="1465"/>
  <c r="C50" i="1465"/>
  <c r="C47" i="1465"/>
  <c r="C46" i="1465"/>
  <c r="C98" i="1429"/>
  <c r="C24" i="1428"/>
  <c r="C122" i="1427"/>
  <c r="C24" i="1427"/>
  <c r="G26" i="1420"/>
  <c r="F15" i="1420" l="1"/>
  <c r="B15" i="1420"/>
  <c r="F46" i="1419"/>
  <c r="B46" i="1419"/>
  <c r="D116" i="1359" l="1"/>
  <c r="D105" i="1359"/>
  <c r="D133" i="1358"/>
  <c r="D111" i="1358"/>
  <c r="D28" i="1358"/>
  <c r="D111" i="1357"/>
  <c r="D133" i="1357"/>
  <c r="D129" i="1357"/>
  <c r="D28" i="1357" l="1"/>
  <c r="C45" i="1472" l="1"/>
  <c r="C44" i="1472"/>
  <c r="F53" i="1419"/>
  <c r="B53" i="1419"/>
  <c r="K8" i="1455" l="1"/>
  <c r="L8" i="1455"/>
  <c r="C22" i="1466" l="1"/>
  <c r="C22" i="1465"/>
  <c r="I58" i="1458" l="1"/>
  <c r="D11" i="1458"/>
  <c r="J54" i="1458"/>
  <c r="N54" i="1458" s="1"/>
  <c r="H54" i="1458"/>
  <c r="C33" i="1458"/>
  <c r="D200" i="1480" l="1"/>
  <c r="D204" i="1480" s="1"/>
  <c r="E224" i="1480"/>
  <c r="C224" i="1480"/>
  <c r="B223" i="1480"/>
  <c r="B222" i="1480"/>
  <c r="B221" i="1480"/>
  <c r="D220" i="1480"/>
  <c r="B220" i="1480" s="1"/>
  <c r="B219" i="1480"/>
  <c r="E218" i="1480"/>
  <c r="D218" i="1480"/>
  <c r="C218" i="1480"/>
  <c r="B217" i="1480"/>
  <c r="B216" i="1480"/>
  <c r="B215" i="1480"/>
  <c r="B214" i="1480"/>
  <c r="B213" i="1480"/>
  <c r="D180" i="1480"/>
  <c r="D184" i="1480" s="1"/>
  <c r="B175" i="1480"/>
  <c r="E210" i="1480"/>
  <c r="D210" i="1480"/>
  <c r="C210" i="1480"/>
  <c r="E204" i="1480"/>
  <c r="C204" i="1480"/>
  <c r="B203" i="1480"/>
  <c r="B202" i="1480"/>
  <c r="B201" i="1480"/>
  <c r="B200" i="1480"/>
  <c r="B199" i="1480"/>
  <c r="E198" i="1480"/>
  <c r="D198" i="1480"/>
  <c r="C198" i="1480"/>
  <c r="B197" i="1480"/>
  <c r="B196" i="1480"/>
  <c r="B195" i="1480"/>
  <c r="B194" i="1480"/>
  <c r="B193" i="1480"/>
  <c r="E190" i="1480"/>
  <c r="D190" i="1480"/>
  <c r="C190" i="1480"/>
  <c r="E184" i="1480"/>
  <c r="C184" i="1480"/>
  <c r="B183" i="1480"/>
  <c r="B182" i="1480"/>
  <c r="B181" i="1480"/>
  <c r="B180" i="1480"/>
  <c r="B179" i="1480"/>
  <c r="E178" i="1480"/>
  <c r="D178" i="1480"/>
  <c r="C178" i="1480"/>
  <c r="B177" i="1480"/>
  <c r="B176" i="1480"/>
  <c r="B174" i="1480"/>
  <c r="B173" i="1480"/>
  <c r="E170" i="1480"/>
  <c r="D170" i="1480"/>
  <c r="C170" i="1480"/>
  <c r="G24" i="1420"/>
  <c r="G23" i="1420"/>
  <c r="G22" i="1420"/>
  <c r="F21" i="1420"/>
  <c r="B21" i="1420"/>
  <c r="F28" i="1420"/>
  <c r="B28" i="1420"/>
  <c r="C7" i="1419"/>
  <c r="G32" i="1419"/>
  <c r="G34" i="1419"/>
  <c r="G35" i="1419"/>
  <c r="G36" i="1419"/>
  <c r="G21" i="1420" l="1"/>
  <c r="B218" i="1480"/>
  <c r="B198" i="1480"/>
  <c r="B224" i="1480"/>
  <c r="D224" i="1480"/>
  <c r="B204" i="1480"/>
  <c r="B184" i="1480"/>
  <c r="B178" i="1480"/>
  <c r="L9" i="1455" l="1"/>
  <c r="M8" i="1455"/>
  <c r="H7" i="1455"/>
  <c r="C51" i="1463"/>
  <c r="C50" i="1462"/>
  <c r="C22" i="1428"/>
  <c r="C22" i="1427"/>
  <c r="D43" i="1358"/>
  <c r="D43" i="1357" l="1"/>
  <c r="D26" i="1357"/>
  <c r="C19" i="1357"/>
  <c r="C46" i="1472" l="1"/>
  <c r="C40" i="1472"/>
  <c r="C13" i="1472"/>
  <c r="C9" i="1472"/>
  <c r="C13" i="1471"/>
  <c r="C9" i="1471"/>
  <c r="D1" i="1478" l="1"/>
  <c r="A1" i="1457"/>
  <c r="I55" i="1458"/>
  <c r="J64" i="1458"/>
  <c r="I61" i="1458"/>
  <c r="N29" i="1458"/>
  <c r="H29" i="1458"/>
  <c r="D16" i="1457"/>
  <c r="D24" i="1457"/>
  <c r="D26" i="1456"/>
  <c r="H25" i="1455"/>
  <c r="I24" i="1455"/>
  <c r="J24" i="1455"/>
  <c r="L23" i="1455"/>
  <c r="I22" i="1455"/>
  <c r="J20" i="1455"/>
  <c r="I20" i="1455"/>
  <c r="J19" i="1455"/>
  <c r="I18" i="1455"/>
  <c r="C15" i="1455"/>
  <c r="J13" i="1455"/>
  <c r="J11" i="1455"/>
  <c r="J10" i="1455"/>
  <c r="I8" i="1455"/>
  <c r="G8" i="1455"/>
  <c r="J8" i="1455"/>
  <c r="M7" i="1455"/>
  <c r="L7" i="1455"/>
  <c r="K7" i="1455"/>
  <c r="J7" i="1455"/>
  <c r="I7" i="1455"/>
  <c r="B17" i="1451"/>
  <c r="C13" i="1467" l="1"/>
  <c r="C9" i="1467"/>
  <c r="C13" i="1465"/>
  <c r="C9" i="1465"/>
  <c r="C38" i="1463" l="1"/>
  <c r="C37" i="1462"/>
  <c r="C22" i="1431" l="1"/>
  <c r="C104" i="1428"/>
  <c r="C22" i="1430"/>
  <c r="C39" i="1427"/>
  <c r="D159" i="1480"/>
  <c r="B159" i="1480" s="1"/>
  <c r="B153" i="1480"/>
  <c r="B157" i="1480"/>
  <c r="B155" i="1480"/>
  <c r="B160" i="1480"/>
  <c r="E164" i="1480"/>
  <c r="C164" i="1480"/>
  <c r="B163" i="1480"/>
  <c r="B162" i="1480"/>
  <c r="B161" i="1480"/>
  <c r="E158" i="1480"/>
  <c r="C158" i="1480"/>
  <c r="B156" i="1480"/>
  <c r="B154" i="1480"/>
  <c r="E150" i="1480"/>
  <c r="D150" i="1480"/>
  <c r="C150" i="1480"/>
  <c r="G12" i="1420"/>
  <c r="G27" i="1419"/>
  <c r="G31" i="1419"/>
  <c r="B158" i="1480" l="1"/>
  <c r="B164" i="1480"/>
  <c r="D158" i="1480"/>
  <c r="D164" i="1480"/>
  <c r="D133" i="1359" l="1"/>
  <c r="D111" i="1359"/>
  <c r="D47" i="1359"/>
  <c r="D43" i="1359"/>
  <c r="D80" i="1358"/>
  <c r="D80" i="1357"/>
  <c r="I20" i="1458" l="1"/>
  <c r="N41" i="1458"/>
  <c r="H41" i="1458"/>
  <c r="I23" i="1455"/>
  <c r="H22" i="1455"/>
  <c r="M21" i="1455"/>
  <c r="L21" i="1455"/>
  <c r="K21" i="1455"/>
  <c r="J21" i="1455"/>
  <c r="I21" i="1455"/>
  <c r="D19" i="1455"/>
  <c r="D18" i="1455"/>
  <c r="G30" i="1419"/>
  <c r="F26" i="1419"/>
  <c r="B26" i="1419"/>
  <c r="I48" i="1458" l="1"/>
  <c r="D12" i="1457" l="1"/>
  <c r="D25" i="1457" s="1"/>
  <c r="G22" i="1455"/>
  <c r="G19" i="1455"/>
  <c r="F19" i="1455"/>
  <c r="E19" i="1455"/>
  <c r="C19" i="1455"/>
  <c r="G18" i="1455"/>
  <c r="F18" i="1455"/>
  <c r="E18" i="1455"/>
  <c r="C18" i="1455"/>
  <c r="H8" i="1455"/>
  <c r="B22" i="1451"/>
  <c r="B20" i="1451"/>
  <c r="C121" i="1480"/>
  <c r="G45" i="1419" l="1"/>
  <c r="E7" i="1420"/>
  <c r="C19" i="1465" l="1"/>
  <c r="C118" i="1429"/>
  <c r="C13" i="1428"/>
  <c r="C13" i="1427" l="1"/>
  <c r="D125" i="1359"/>
  <c r="E125" i="1359"/>
  <c r="F125" i="1359"/>
  <c r="G125" i="1359"/>
  <c r="H125" i="1359"/>
  <c r="I125" i="1359"/>
  <c r="D17" i="1358"/>
  <c r="C129" i="1357"/>
  <c r="D106" i="1357"/>
  <c r="D17" i="1357"/>
  <c r="I47" i="1458" l="1"/>
  <c r="C56" i="1463"/>
  <c r="C55" i="1462"/>
  <c r="E23" i="1455"/>
  <c r="D22" i="1455"/>
  <c r="H24" i="1455"/>
  <c r="H20" i="1455"/>
  <c r="F20" i="1455"/>
  <c r="I19" i="1455"/>
  <c r="H19" i="1455"/>
  <c r="K11" i="1455"/>
  <c r="I11" i="1455"/>
  <c r="H11" i="1455"/>
  <c r="G11" i="1455"/>
  <c r="F11" i="1455"/>
  <c r="E11" i="1455"/>
  <c r="D11" i="1455"/>
  <c r="C11" i="1455"/>
  <c r="E8" i="1455"/>
  <c r="C7" i="1455"/>
  <c r="D7" i="1455"/>
  <c r="E7" i="1455"/>
  <c r="G7" i="1455"/>
  <c r="B15" i="1451"/>
  <c r="C13" i="1431"/>
  <c r="C10" i="1431"/>
  <c r="C13" i="1430"/>
  <c r="C10" i="1430"/>
  <c r="D140" i="1480"/>
  <c r="D133" i="1480"/>
  <c r="D137" i="1480"/>
  <c r="B9" i="1419"/>
  <c r="F9" i="1419"/>
  <c r="E102" i="1358" l="1"/>
  <c r="E47" i="1358"/>
  <c r="E44" i="1358"/>
  <c r="E47" i="1357" l="1"/>
  <c r="E44" i="1357"/>
  <c r="C59" i="1466" l="1"/>
  <c r="C59" i="1465"/>
  <c r="A1" i="1459" l="1"/>
  <c r="A1" i="1477"/>
  <c r="A1" i="1464"/>
  <c r="C20" i="1362" l="1"/>
  <c r="A1" i="1399" l="1"/>
  <c r="E17" i="1478" l="1"/>
  <c r="E18" i="1478" s="1"/>
  <c r="E21" i="1478" s="1"/>
  <c r="F35" i="1459" l="1"/>
  <c r="F34" i="1459"/>
  <c r="E35" i="1459"/>
  <c r="D35" i="1459"/>
  <c r="D34" i="1459"/>
  <c r="D32" i="1459"/>
  <c r="D39" i="1456"/>
  <c r="D28" i="1456"/>
  <c r="D25" i="1456"/>
  <c r="D24" i="1456"/>
  <c r="D23" i="1456"/>
  <c r="D19" i="1456"/>
  <c r="D21" i="1456" s="1"/>
  <c r="D12" i="1456"/>
  <c r="D11" i="1456"/>
  <c r="D10" i="1456"/>
  <c r="D9" i="1456"/>
  <c r="D8" i="1456"/>
  <c r="D7" i="1456"/>
  <c r="D6" i="1456"/>
  <c r="K27" i="1455"/>
  <c r="H27" i="1455"/>
  <c r="E27" i="1455"/>
  <c r="C27" i="1455"/>
  <c r="K23" i="1455"/>
  <c r="G23" i="1455"/>
  <c r="M15" i="1455"/>
  <c r="K15" i="1455"/>
  <c r="L15" i="1455"/>
  <c r="I15" i="1455"/>
  <c r="G15" i="1455"/>
  <c r="E15" i="1455"/>
  <c r="J15" i="1455"/>
  <c r="H15" i="1455"/>
  <c r="F15" i="1455"/>
  <c r="D15" i="1455"/>
  <c r="L10" i="1455"/>
  <c r="D8" i="1455" l="1"/>
  <c r="C8" i="1455"/>
  <c r="H25" i="1453"/>
  <c r="G25" i="1453"/>
  <c r="F25" i="1453"/>
  <c r="E25" i="1453"/>
  <c r="I24" i="1453"/>
  <c r="I23" i="1453"/>
  <c r="I19" i="1453"/>
  <c r="D12" i="1453"/>
  <c r="D25" i="1453" s="1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131" i="1452" l="1"/>
  <c r="C67" i="1452"/>
  <c r="C91" i="1452"/>
  <c r="C156" i="1452"/>
  <c r="C157" i="1452" s="1"/>
  <c r="B16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G12" i="1450"/>
  <c r="F12" i="1450"/>
  <c r="E12" i="1450"/>
  <c r="C59" i="1433"/>
  <c r="C59" i="1430"/>
  <c r="E11" i="1450"/>
  <c r="C92" i="1452" l="1"/>
  <c r="F16" i="1450"/>
  <c r="H16" i="1450"/>
  <c r="I16" i="1450"/>
  <c r="E16" i="1450"/>
  <c r="G16" i="1450"/>
  <c r="E102" i="1359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2" i="1428"/>
  <c r="C23" i="1428"/>
  <c r="C16" i="1428"/>
  <c r="C7" i="1428"/>
  <c r="C144" i="1427"/>
  <c r="C139" i="1427"/>
  <c r="C132" i="1427"/>
  <c r="C128" i="1427"/>
  <c r="C118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2" i="1427"/>
  <c r="C23" i="1427"/>
  <c r="C16" i="1427"/>
  <c r="C10" i="1427"/>
  <c r="C7" i="1427" s="1"/>
  <c r="D138" i="1480"/>
  <c r="B136" i="1480"/>
  <c r="B137" i="1480"/>
  <c r="C120" i="1480"/>
  <c r="C124" i="1480" s="1"/>
  <c r="D77" i="1480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C138" i="1480"/>
  <c r="B135" i="1480"/>
  <c r="B134" i="1480"/>
  <c r="B133" i="1480"/>
  <c r="E124" i="1480"/>
  <c r="D124" i="1480"/>
  <c r="B123" i="1480"/>
  <c r="B122" i="1480"/>
  <c r="B121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B149" i="1480" s="1"/>
  <c r="B169" i="1480" s="1"/>
  <c r="B189" i="1480" s="1"/>
  <c r="B209" i="1480" s="1"/>
  <c r="E22" i="1480"/>
  <c r="B20" i="1480"/>
  <c r="E16" i="1480"/>
  <c r="D16" i="1480"/>
  <c r="C16" i="1480"/>
  <c r="B15" i="1480"/>
  <c r="B14" i="1480"/>
  <c r="B13" i="1480"/>
  <c r="B12" i="1480"/>
  <c r="B11" i="1480"/>
  <c r="G20" i="1420"/>
  <c r="B27" i="1420"/>
  <c r="G28" i="1420"/>
  <c r="F27" i="1420"/>
  <c r="D27" i="1420"/>
  <c r="D14" i="1419"/>
  <c r="G15" i="1420"/>
  <c r="B14" i="1420"/>
  <c r="G53" i="1419"/>
  <c r="G52" i="1419"/>
  <c r="G51" i="1419"/>
  <c r="G50" i="1419"/>
  <c r="C56" i="1473"/>
  <c r="C56" i="1472"/>
  <c r="C56" i="1471"/>
  <c r="B120" i="1480" l="1"/>
  <c r="B124" i="1480" s="1"/>
  <c r="C92" i="1429"/>
  <c r="C127" i="1429" s="1"/>
  <c r="G27" i="1420"/>
  <c r="B34" i="1480"/>
  <c r="B37" i="1480" s="1"/>
  <c r="C31" i="1428"/>
  <c r="C30" i="1428" s="1"/>
  <c r="C65" i="1428" s="1"/>
  <c r="C89" i="1428"/>
  <c r="C92" i="1427"/>
  <c r="C152" i="1429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D43" i="1480"/>
  <c r="C83" i="1480"/>
  <c r="C43" i="1480"/>
  <c r="C22" i="1480"/>
  <c r="B16" i="1480"/>
  <c r="B118" i="1480"/>
  <c r="B138" i="1480"/>
  <c r="B22" i="1480"/>
  <c r="B43" i="1480"/>
  <c r="B57" i="1480"/>
  <c r="B63" i="1480"/>
  <c r="B77" i="1480"/>
  <c r="B83" i="1480"/>
  <c r="B97" i="1480"/>
  <c r="B104" i="1480"/>
  <c r="B144" i="1480"/>
  <c r="C153" i="1429" l="1"/>
  <c r="C90" i="1427"/>
  <c r="B18" i="1450" s="1"/>
  <c r="C90" i="1428"/>
  <c r="C90" i="1429"/>
  <c r="C153" i="1428"/>
  <c r="C127" i="1427"/>
  <c r="C153" i="1427" s="1"/>
  <c r="K18" i="1450" s="1"/>
  <c r="G18" i="1420" l="1"/>
  <c r="G14" i="1420"/>
  <c r="G11" i="1420"/>
  <c r="G9" i="1420"/>
  <c r="B16" i="1419"/>
  <c r="F16" i="1419"/>
  <c r="F7" i="1419" s="1"/>
  <c r="D16" i="1419"/>
  <c r="D18" i="1419"/>
  <c r="D9" i="1419" l="1"/>
  <c r="D8" i="1420"/>
  <c r="B8" i="1419"/>
  <c r="D8" i="1419"/>
  <c r="D7" i="1419" s="1"/>
  <c r="G8" i="1420" l="1"/>
  <c r="G8" i="1419"/>
  <c r="B20" i="1419"/>
  <c r="G29" i="1419" l="1"/>
  <c r="G28" i="1419" l="1"/>
  <c r="G26" i="1419"/>
  <c r="G25" i="1419"/>
  <c r="G18" i="1419"/>
  <c r="G17" i="1419"/>
  <c r="G15" i="1419"/>
  <c r="G13" i="1419"/>
  <c r="G12" i="1419"/>
  <c r="G11" i="1419"/>
  <c r="G10" i="1419"/>
  <c r="B48" i="1419"/>
  <c r="F47" i="1419"/>
  <c r="B47" i="1419"/>
  <c r="C16" i="1418"/>
  <c r="F23" i="1416"/>
  <c r="G23" i="1416"/>
  <c r="H21" i="1416"/>
  <c r="G47" i="1419" l="1"/>
  <c r="E5" i="1362"/>
  <c r="E43" i="1358"/>
  <c r="E48" i="1358"/>
  <c r="E46" i="1358"/>
  <c r="E100" i="1358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H135" i="1359"/>
  <c r="G135" i="1359"/>
  <c r="F135" i="1359"/>
  <c r="E135" i="1359"/>
  <c r="D135" i="1359"/>
  <c r="D159" i="1359" s="1"/>
  <c r="I120" i="1359"/>
  <c r="H120" i="1359"/>
  <c r="G120" i="1359"/>
  <c r="F120" i="1359"/>
  <c r="E120" i="1359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H70" i="1359"/>
  <c r="G70" i="1359"/>
  <c r="F70" i="1359"/>
  <c r="E70" i="1359"/>
  <c r="D70" i="1359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G34" i="1359" s="1"/>
  <c r="F35" i="1359"/>
  <c r="F34" i="1359" s="1"/>
  <c r="E35" i="1359"/>
  <c r="E34" i="1359" s="1"/>
  <c r="D35" i="1359"/>
  <c r="D34" i="1359" s="1"/>
  <c r="I34" i="1359"/>
  <c r="H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I11" i="1359" s="1"/>
  <c r="I69" i="1359" s="1"/>
  <c r="H14" i="1359"/>
  <c r="H11" i="1359" s="1"/>
  <c r="H69" i="1359" s="1"/>
  <c r="G14" i="1359"/>
  <c r="G11" i="1359" s="1"/>
  <c r="F14" i="1359"/>
  <c r="F11" i="1359" s="1"/>
  <c r="E14" i="1359"/>
  <c r="E11" i="1359" s="1"/>
  <c r="D14" i="1359"/>
  <c r="D11" i="1359" s="1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H135" i="1358"/>
  <c r="G135" i="1358"/>
  <c r="F135" i="1358"/>
  <c r="E135" i="1358"/>
  <c r="D135" i="1358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H70" i="1358"/>
  <c r="G70" i="1358"/>
  <c r="F70" i="1358"/>
  <c r="E70" i="1358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F11" i="1358" s="1"/>
  <c r="E14" i="1358"/>
  <c r="E11" i="1358" s="1"/>
  <c r="D14" i="1358"/>
  <c r="D11" i="1358" s="1"/>
  <c r="I11" i="1358"/>
  <c r="H11" i="1358"/>
  <c r="G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6" i="1357"/>
  <c r="I159" i="1358" l="1"/>
  <c r="E159" i="1359"/>
  <c r="F159" i="1359"/>
  <c r="G159" i="1359"/>
  <c r="G159" i="1358"/>
  <c r="E69" i="1359"/>
  <c r="F69" i="1359"/>
  <c r="G69" i="1359"/>
  <c r="E93" i="1358"/>
  <c r="F93" i="1358"/>
  <c r="G93" i="1358"/>
  <c r="H159" i="1359"/>
  <c r="H93" i="1358"/>
  <c r="I159" i="1359"/>
  <c r="H159" i="1358"/>
  <c r="I93" i="1358"/>
  <c r="D159" i="1358"/>
  <c r="D93" i="1359"/>
  <c r="H93" i="1359"/>
  <c r="H94" i="1359" s="1"/>
  <c r="I93" i="1359"/>
  <c r="I94" i="1359" s="1"/>
  <c r="E159" i="1358"/>
  <c r="F159" i="1358"/>
  <c r="F93" i="1359"/>
  <c r="G93" i="1359"/>
  <c r="G94" i="1359" s="1"/>
  <c r="D99" i="1358"/>
  <c r="D134" i="1358" s="1"/>
  <c r="F99" i="1358"/>
  <c r="F134" i="1358" s="1"/>
  <c r="H99" i="1358"/>
  <c r="H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5" i="1358"/>
  <c r="D34" i="1358" s="1"/>
  <c r="D69" i="1358" s="1"/>
  <c r="D94" i="1358" s="1"/>
  <c r="I69" i="1358"/>
  <c r="E41" i="1358"/>
  <c r="E69" i="1358" s="1"/>
  <c r="I134" i="1359"/>
  <c r="I160" i="1359" s="1"/>
  <c r="F99" i="1357"/>
  <c r="F134" i="1357" s="1"/>
  <c r="G93" i="1357"/>
  <c r="H99" i="1357"/>
  <c r="H134" i="1357" s="1"/>
  <c r="H159" i="1357"/>
  <c r="F69" i="1358"/>
  <c r="H69" i="1358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E93" i="1359"/>
  <c r="E94" i="1359" s="1"/>
  <c r="D99" i="1359"/>
  <c r="D134" i="1359" s="1"/>
  <c r="D160" i="1359" s="1"/>
  <c r="D69" i="1359"/>
  <c r="H69" i="1357"/>
  <c r="G69" i="1357"/>
  <c r="F93" i="1357"/>
  <c r="F69" i="1357"/>
  <c r="H63" i="1458"/>
  <c r="H24" i="1458"/>
  <c r="C18" i="1467"/>
  <c r="C18" i="1465"/>
  <c r="F160" i="1358" l="1"/>
  <c r="D160" i="1358"/>
  <c r="G94" i="1358"/>
  <c r="F94" i="1358"/>
  <c r="H160" i="1358"/>
  <c r="I94" i="1358"/>
  <c r="H94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3" i="1458"/>
  <c r="N25" i="1458" l="1"/>
  <c r="H25" i="1458"/>
  <c r="C23" i="1416" l="1"/>
  <c r="D23" i="1416"/>
  <c r="E23" i="1416"/>
  <c r="J17" i="1458" l="1"/>
  <c r="E29" i="1420" l="1"/>
  <c r="B24" i="1419"/>
  <c r="G23" i="1419"/>
  <c r="G22" i="1419"/>
  <c r="E7" i="1419"/>
  <c r="G16" i="1420" l="1"/>
  <c r="G19" i="1420"/>
  <c r="G17" i="1420"/>
  <c r="G24" i="1419"/>
  <c r="G16" i="1419"/>
  <c r="N19" i="1458" l="1"/>
  <c r="N48" i="1458"/>
  <c r="H48" i="1458"/>
  <c r="F13" i="1420" l="1"/>
  <c r="B13" i="1420"/>
  <c r="F7" i="1420" l="1"/>
  <c r="F29" i="1420" s="1"/>
  <c r="G13" i="1420"/>
  <c r="G21" i="1419"/>
  <c r="C19" i="1362"/>
  <c r="B7" i="1419" l="1"/>
  <c r="B10" i="1420"/>
  <c r="B7" i="1420" l="1"/>
  <c r="B29" i="1420" s="1"/>
  <c r="D50" i="1456"/>
  <c r="D46" i="1456"/>
  <c r="D34" i="1456" l="1"/>
  <c r="G20" i="1419" l="1"/>
  <c r="H58" i="1458"/>
  <c r="H59" i="1458"/>
  <c r="H60" i="1458"/>
  <c r="H61" i="1458"/>
  <c r="H62" i="1458"/>
  <c r="N65" i="1458" l="1"/>
  <c r="N64" i="1458"/>
  <c r="N62" i="1458"/>
  <c r="N61" i="1458"/>
  <c r="N60" i="1458"/>
  <c r="N59" i="1458"/>
  <c r="N58" i="1458"/>
  <c r="N57" i="1458" l="1"/>
  <c r="H57" i="1458"/>
  <c r="N49" i="1458"/>
  <c r="H49" i="1458"/>
  <c r="I22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G42" i="1419"/>
  <c r="G55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C35" i="1462" l="1"/>
  <c r="B12" i="1450" s="1"/>
  <c r="K12" i="1450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70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D30" i="1427" l="1"/>
  <c r="D10" i="1420"/>
  <c r="D7" i="1420" s="1"/>
  <c r="G10" i="1420" l="1"/>
  <c r="G7" i="1420" s="1"/>
  <c r="D29" i="1420"/>
  <c r="G14" i="1419"/>
  <c r="D14" i="1357"/>
  <c r="D14" i="1456"/>
  <c r="D41" i="1456"/>
  <c r="D38" i="1456"/>
  <c r="D42" i="1456" l="1"/>
  <c r="D52" i="1456" s="1"/>
  <c r="D125" i="1357" l="1"/>
  <c r="N50" i="1458" l="1"/>
  <c r="H50" i="1458"/>
  <c r="N39" i="1458"/>
  <c r="H39" i="1458"/>
  <c r="G48" i="1419"/>
  <c r="G44" i="1419"/>
  <c r="G40" i="1419"/>
  <c r="G39" i="1419"/>
  <c r="G38" i="1419" l="1"/>
  <c r="E58" i="1419" l="1"/>
  <c r="G19" i="1419"/>
  <c r="D41" i="1357" l="1"/>
  <c r="N55" i="1458" l="1"/>
  <c r="H55" i="1458"/>
  <c r="I21" i="1453"/>
  <c r="G9" i="1419"/>
  <c r="G7" i="1419" s="1"/>
  <c r="H22" i="1416"/>
  <c r="H20" i="1416"/>
  <c r="F49" i="1419" l="1"/>
  <c r="B49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F12" i="1459" s="1"/>
  <c r="F24" i="1459" s="1"/>
  <c r="F26" i="1459" s="1"/>
  <c r="E13" i="1459"/>
  <c r="D13" i="1459"/>
  <c r="D12" i="1459" s="1"/>
  <c r="C13" i="1459"/>
  <c r="E12" i="1459"/>
  <c r="E24" i="1459" s="1"/>
  <c r="E26" i="1459" s="1"/>
  <c r="C12" i="1459"/>
  <c r="C24" i="1459" s="1"/>
  <c r="C26" i="1459" s="1"/>
  <c r="N70" i="1458"/>
  <c r="M69" i="1458"/>
  <c r="M71" i="1458" s="1"/>
  <c r="L69" i="1458"/>
  <c r="L71" i="1458" s="1"/>
  <c r="K69" i="1458"/>
  <c r="F69" i="1458"/>
  <c r="F71" i="1458" s="1"/>
  <c r="N68" i="1458"/>
  <c r="H68" i="1458"/>
  <c r="N67" i="1458"/>
  <c r="H65" i="1458"/>
  <c r="H64" i="1458"/>
  <c r="N52" i="1458"/>
  <c r="H52" i="1458"/>
  <c r="N51" i="1458"/>
  <c r="H51" i="1458"/>
  <c r="N47" i="1458"/>
  <c r="H47" i="1458"/>
  <c r="N45" i="1458"/>
  <c r="H45" i="1458"/>
  <c r="H44" i="1458"/>
  <c r="N43" i="1458"/>
  <c r="H43" i="1458"/>
  <c r="N42" i="1458"/>
  <c r="H42" i="1458"/>
  <c r="N40" i="1458"/>
  <c r="H40" i="1458"/>
  <c r="N38" i="1458"/>
  <c r="H38" i="1458"/>
  <c r="N36" i="1458"/>
  <c r="H36" i="1458"/>
  <c r="N35" i="1458"/>
  <c r="H35" i="1458"/>
  <c r="N34" i="1458"/>
  <c r="H34" i="1458"/>
  <c r="H33" i="1458"/>
  <c r="N31" i="1458"/>
  <c r="H31" i="1458"/>
  <c r="N30" i="1458"/>
  <c r="H30" i="1458"/>
  <c r="N28" i="1458"/>
  <c r="H28" i="1458"/>
  <c r="N27" i="1458"/>
  <c r="H27" i="1458"/>
  <c r="J69" i="1458"/>
  <c r="J71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9" i="1458"/>
  <c r="G71" i="1458" s="1"/>
  <c r="H13" i="1458"/>
  <c r="N12" i="1458"/>
  <c r="H12" i="1458"/>
  <c r="N11" i="1458"/>
  <c r="D69" i="1458"/>
  <c r="D71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0" i="1453"/>
  <c r="I18" i="1453"/>
  <c r="I17" i="1453"/>
  <c r="I16" i="1453"/>
  <c r="I15" i="1453"/>
  <c r="I14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I122" i="1452" s="1"/>
  <c r="J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I17" i="1452" s="1"/>
  <c r="E22" i="1452"/>
  <c r="E17" i="1452" s="1"/>
  <c r="K17" i="1452"/>
  <c r="J17" i="1452"/>
  <c r="G17" i="1452"/>
  <c r="F17" i="1452"/>
  <c r="D17" i="1452"/>
  <c r="I15" i="1452"/>
  <c r="E15" i="1452"/>
  <c r="I14" i="1452"/>
  <c r="E14" i="1452"/>
  <c r="I11" i="1452"/>
  <c r="E11" i="1452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3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3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3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54" i="1419"/>
  <c r="D49" i="1419"/>
  <c r="G49" i="1419" s="1"/>
  <c r="F43" i="1419"/>
  <c r="D43" i="1419"/>
  <c r="B43" i="1419"/>
  <c r="F41" i="1419"/>
  <c r="D41" i="1419"/>
  <c r="B41" i="1419"/>
  <c r="F37" i="1419"/>
  <c r="B37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I25" i="1453" l="1"/>
  <c r="D24" i="1459"/>
  <c r="D26" i="1459" s="1"/>
  <c r="D40" i="1459" s="1"/>
  <c r="E8" i="1452"/>
  <c r="I8" i="1452"/>
  <c r="E50" i="1430"/>
  <c r="F57" i="1419"/>
  <c r="B57" i="1419"/>
  <c r="D57" i="1419"/>
  <c r="D58" i="1419" s="1"/>
  <c r="J117" i="1452"/>
  <c r="I117" i="1452"/>
  <c r="G43" i="1419"/>
  <c r="G54" i="1419"/>
  <c r="G37" i="1419"/>
  <c r="G41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9" i="1458"/>
  <c r="I71" i="1458" s="1"/>
  <c r="F8" i="1427"/>
  <c r="D73" i="1458"/>
  <c r="D72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3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3" i="1458"/>
  <c r="G72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4" i="1458"/>
  <c r="K71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B19" i="1450" s="1"/>
  <c r="C45" i="1430"/>
  <c r="D46" i="1430"/>
  <c r="E46" i="1430" s="1"/>
  <c r="E47" i="1430"/>
  <c r="F72" i="1458"/>
  <c r="L72" i="1458"/>
  <c r="O15" i="1455"/>
  <c r="O18" i="1455"/>
  <c r="N33" i="1458"/>
  <c r="F40" i="1459"/>
  <c r="G67" i="1452"/>
  <c r="C28" i="1455"/>
  <c r="M72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9" i="1458"/>
  <c r="C71" i="1458" s="1"/>
  <c r="H9" i="1458"/>
  <c r="H11" i="1458"/>
  <c r="N20" i="1458"/>
  <c r="E69" i="1458"/>
  <c r="E71" i="1458" s="1"/>
  <c r="H67" i="1458"/>
  <c r="I131" i="1452" l="1"/>
  <c r="I157" i="1452" s="1"/>
  <c r="J131" i="1452"/>
  <c r="J157" i="1452" s="1"/>
  <c r="E76" i="1427"/>
  <c r="N69" i="1458"/>
  <c r="N71" i="1458" s="1"/>
  <c r="G57" i="1419"/>
  <c r="E109" i="1427"/>
  <c r="F29" i="1455"/>
  <c r="F23" i="1427"/>
  <c r="D45" i="1430"/>
  <c r="E45" i="1430" s="1"/>
  <c r="E72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58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58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9" i="1458"/>
  <c r="H71" i="1458" s="1"/>
  <c r="O28" i="1455"/>
  <c r="C29" i="1455"/>
  <c r="C57" i="1430"/>
  <c r="E37" i="1427"/>
  <c r="F37" i="1427"/>
  <c r="I73" i="1458"/>
  <c r="C73" i="1458"/>
  <c r="H73" i="1458" s="1"/>
  <c r="C11" i="1450" l="1"/>
  <c r="C16" i="1450" s="1"/>
  <c r="K73" i="1458" s="1"/>
  <c r="K72" i="1458" s="1"/>
  <c r="K16" i="1450"/>
  <c r="K19" i="1450" s="1"/>
  <c r="D11" i="1450"/>
  <c r="D16" i="1450" s="1"/>
  <c r="O29" i="1455"/>
  <c r="G58" i="1419"/>
  <c r="F89" i="1427"/>
  <c r="E89" i="1427"/>
  <c r="E97" i="1427"/>
  <c r="D90" i="1427"/>
  <c r="D65" i="1427"/>
  <c r="E65" i="1427" s="1"/>
  <c r="F10" i="1427"/>
  <c r="E10" i="1427"/>
  <c r="E57" i="1430"/>
  <c r="E41" i="1430"/>
  <c r="I72" i="1458"/>
  <c r="E152" i="1427"/>
  <c r="F152" i="1427"/>
  <c r="C72" i="1458"/>
  <c r="H72" i="1458"/>
  <c r="E92" i="1427"/>
  <c r="F92" i="1427"/>
  <c r="J73" i="1458"/>
  <c r="J72" i="1458" s="1"/>
  <c r="E113" i="1427"/>
  <c r="F113" i="1427"/>
  <c r="O69" i="1458"/>
  <c r="F65" i="1427" l="1"/>
  <c r="F127" i="1427"/>
  <c r="E127" i="1427"/>
  <c r="F90" i="1427"/>
  <c r="E90" i="1427"/>
  <c r="N73" i="1458"/>
  <c r="N72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H126" i="1452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B30" i="1451" s="1"/>
  <c r="B31" i="1451" s="1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H16" i="1452"/>
  <c r="C18" i="1357"/>
  <c r="H15" i="1452" s="1"/>
  <c r="C17" i="1357"/>
  <c r="H14" i="1452" s="1"/>
  <c r="C14" i="1357"/>
  <c r="H11" i="1452" s="1"/>
  <c r="C13" i="1357"/>
  <c r="H10" i="1452" s="1"/>
  <c r="E11" i="1357"/>
  <c r="D11" i="1357"/>
  <c r="K126" i="1357" l="1"/>
  <c r="C125" i="1359"/>
  <c r="K57" i="1357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59" i="1419"/>
  <c r="F60" i="1419" s="1"/>
  <c r="H120" i="1452"/>
  <c r="P24" i="1455"/>
  <c r="Q24" i="1455" s="1"/>
  <c r="F30" i="1420"/>
  <c r="F31" i="1420" s="1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69" i="1357" s="1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H67" i="1452"/>
  <c r="D94" i="1357"/>
  <c r="H157" i="1452" l="1"/>
  <c r="K20" i="1450"/>
  <c r="K21" i="1450" s="1"/>
  <c r="E35" i="1362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C160" i="1358"/>
  <c r="C134" i="1358"/>
  <c r="K134" i="1357" s="1"/>
  <c r="C163" i="1357"/>
  <c r="L69" i="1357"/>
  <c r="H92" i="1452" l="1"/>
  <c r="B20" i="1450"/>
  <c r="B21" i="1450" s="1"/>
  <c r="E6" i="1413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<sst xmlns="http://schemas.openxmlformats.org/spreadsheetml/2006/main" count="5986" uniqueCount="1078">
  <si>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</si>
  <si>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</si>
  <si>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</si>
  <si>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</si>
  <si>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</si>
  <si>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</si>
  <si>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</si>
  <si>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</si>
  <si>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</si>
  <si>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</si>
  <si>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</si>
  <si>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</si>
  <si>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</si>
  <si>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</si>
  <si>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</si>
  <si>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</si>
  <si>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</si>
  <si>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</si>
  <si>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</si>
  <si>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</si>
  <si>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</si>
  <si>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</si>
  <si>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</si>
  <si>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</si>
  <si>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</si>
  <si>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</si>
  <si>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</si>
  <si>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</si>
  <si>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</si>
  <si>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</si>
  <si>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</si>
  <si>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</si>
  <si>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</si>
  <si>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</si>
  <si>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</si>
  <si>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</si>
  <si>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</si>
  <si>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</si>
  <si>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</si>
  <si>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</si>
  <si>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</si>
  <si>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</si>
  <si>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</si>
  <si>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</si>
  <si>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</si>
  <si>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</si>
  <si>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</si>
  <si>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</si>
  <si>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</si>
  <si>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</si>
  <si>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</si>
  <si>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</si>
  <si>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</si>
  <si>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</si>
  <si>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</si>
  <si>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</si>
  <si>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</si>
  <si>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</si>
  <si>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</si>
  <si>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</si>
  <si>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</si>
  <si>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</si>
  <si>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</si>
  <si>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</si>
  <si>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</si>
  <si>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</si>
  <si>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</si>
  <si>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</si>
  <si>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</si>
  <si>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</si>
  <si>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</si>
  <si>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</si>
  <si>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</si>
  <si>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</si>
  <si>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</si>
  <si>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</si>
  <si>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</si>
  <si>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</si>
  <si>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</si>
  <si>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</si>
  <si>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</si>
  <si>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</si>
  <si>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</si>
  <si>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</si>
  <si>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</si>
  <si>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</si>
  <si>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</si>
  <si>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</si>
  <si>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</si>
  <si>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</si>
  <si>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</si>
  <si>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</si>
  <si>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</si>
  <si>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</si>
  <si>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</si>
  <si>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</si>
  <si>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</si>
  <si>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</si>
  <si>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</si>
  <si>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</si>
  <si>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</si>
  <si>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</si>
  <si>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</si>
  <si>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</si>
  <si>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</si>
  <si>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</si>
  <si>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</si>
  <si>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</si>
  <si>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</si>
  <si>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</si>
  <si>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</si>
  <si>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</si>
  <si>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</si>
  <si>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</si>
  <si>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</si>
  <si>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</si>
  <si>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</si>
  <si>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</si>
  <si>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</si>
  <si>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</si>
  <si>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</si>
  <si>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</si>
  <si>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</si>
  <si>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</si>
  <si>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</si>
  <si>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</si>
  <si>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</si>
  <si>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</si>
  <si>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</si>
  <si>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</si>
  <si>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</si>
  <si>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</si>
  <si>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</si>
  <si>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</si>
  <si>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</si>
  <si>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</si>
  <si>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</si>
  <si>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</si>
  <si>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</si>
  <si>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</si>
  <si>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</si>
  <si>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</si>
  <si>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</si>
  <si>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</si>
  <si>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</si>
  <si>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</si>
  <si>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</si>
  <si>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</si>
  <si>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</si>
  <si>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</si>
  <si>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</si>
  <si>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</si>
  <si>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</si>
  <si>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</si>
  <si>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</si>
  <si>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</si>
  <si>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</si>
  <si>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</si>
  <si>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</si>
  <si>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</si>
  <si>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</si>
  <si>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</si>
  <si>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</si>
  <si>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</si>
  <si>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</si>
  <si>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</si>
  <si>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</si>
  <si>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</si>
  <si>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</si>
  <si>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</si>
  <si>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</si>
  <si>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</si>
  <si>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</si>
  <si>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</si>
  <si>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</si>
  <si>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</si>
  <si>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</si>
  <si>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</si>
  <si>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</si>
  <si>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</si>
  <si>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</si>
  <si>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</si>
  <si>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</si>
  <si>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</si>
  <si>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</si>
  <si>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</si>
  <si>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</si>
  <si>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</si>
  <si>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</si>
  <si>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</si>
  <si>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</si>
  <si>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</si>
  <si>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</si>
  <si>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</si>
  <si>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</si>
  <si>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</si>
  <si>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</si>
  <si>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</si>
  <si>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</si>
  <si>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</si>
  <si>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</si>
  <si>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</si>
  <si>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</si>
  <si>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</si>
  <si>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</si>
  <si>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</si>
  <si>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</si>
  <si>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</si>
  <si>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</si>
  <si>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</si>
  <si>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</si>
  <si>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</si>
  <si>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</si>
  <si>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</si>
  <si>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</si>
  <si>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</si>
  <si>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</si>
  <si>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</si>
  <si>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</si>
  <si>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</si>
  <si>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</si>
  <si>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</si>
  <si>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</si>
  <si>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</si>
  <si>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</si>
  <si>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</si>
  <si>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</si>
  <si>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</si>
  <si>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</si>
  <si>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</si>
  <si>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</si>
  <si>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</si>
  <si>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</si>
  <si>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</si>
  <si>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</si>
  <si>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</si>
  <si>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</si>
  <si>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</si>
  <si>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</si>
  <si>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</si>
  <si>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</si>
  <si>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</si>
  <si>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</si>
  <si>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</si>
  <si>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</si>
  <si>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</si>
  <si>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</si>
  <si>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</si>
  <si>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</si>
  <si>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</si>
  <si>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</si>
  <si>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</si>
  <si>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</si>
  <si>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</si>
  <si>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</si>
  <si>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</si>
  <si>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</si>
  <si>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</si>
  <si>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</si>
  <si>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</si>
  <si>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</si>
  <si>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</si>
  <si>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</si>
  <si>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</si>
  <si>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</si>
  <si>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</si>
  <si>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</si>
  <si>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</si>
  <si>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</si>
  <si>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</si>
  <si>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</si>
  <si>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</si>
  <si>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</si>
  <si>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</si>
  <si>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</si>
  <si>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</si>
  <si>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</si>
  <si>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</si>
  <si>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</si>
  <si>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</si>
  <si>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</si>
  <si>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</si>
  <si>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</si>
  <si>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</si>
  <si>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</si>
  <si>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</si>
  <si>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</si>
  <si>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</si>
  <si>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</si>
  <si>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</si>
  <si>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</si>
  <si>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</si>
  <si>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</si>
  <si>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</si>
  <si>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</si>
  <si>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</si>
  <si>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</si>
  <si>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</si>
  <si>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</si>
  <si>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</si>
  <si>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</si>
  <si>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</si>
  <si>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</si>
  <si>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</si>
  <si>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</si>
  <si>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</si>
  <si>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</si>
  <si>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</si>
  <si>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</si>
  <si>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</si>
  <si>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</si>
  <si>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</si>
  <si>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</si>
  <si>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</si>
  <si>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</si>
  <si>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</si>
  <si>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</si>
  <si>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</si>
  <si>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</si>
  <si>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</si>
  <si>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</si>
  <si>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</si>
  <si>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</si>
  <si>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</si>
  <si>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</si>
  <si>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</si>
  <si>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</si>
  <si>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</si>
  <si>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</si>
  <si>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</si>
  <si>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</si>
  <si>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</si>
  <si>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</si>
  <si>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</si>
  <si>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</si>
  <si>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</si>
  <si>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</si>
  <si>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</si>
  <si>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</si>
  <si>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</si>
  <si>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</si>
  <si>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</si>
  <si>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</si>
  <si>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</si>
  <si>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</si>
  <si>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</si>
  <si>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</si>
  <si>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</si>
  <si>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</si>
  <si>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</si>
  <si>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</si>
  <si>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</si>
  <si>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</si>
  <si>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</si>
  <si>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</si>
  <si>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</si>
  <si>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</si>
  <si>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</si>
  <si>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</si>
  <si>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</si>
  <si>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</si>
  <si>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</si>
  <si>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</si>
  <si>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</si>
  <si>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</si>
  <si>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</si>
  <si>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</si>
  <si>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</si>
  <si>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</si>
  <si>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</si>
  <si>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</si>
  <si>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</si>
  <si>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</si>
  <si>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</si>
  <si>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</si>
  <si>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</si>
  <si>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</si>
  <si>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</si>
  <si>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</si>
  <si>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</si>
  <si>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</si>
  <si>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</si>
  <si>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</si>
  <si>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</si>
  <si>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</si>
  <si>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</si>
  <si>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</si>
  <si>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</si>
  <si>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</si>
  <si>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</si>
  <si>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</si>
  <si>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</si>
  <si>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</si>
  <si>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</si>
  <si>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</si>
  <si>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</si>
  <si>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</si>
  <si>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</si>
  <si>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</si>
  <si>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</si>
  <si>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</si>
  <si>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</si>
  <si>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</si>
  <si>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</si>
  <si>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</si>
  <si>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</si>
  <si>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</si>
  <si>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</si>
  <si>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</si>
  <si>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</si>
  <si>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</si>
  <si>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</si>
  <si>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</si>
  <si>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</si>
  <si>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</si>
  <si>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</si>
  <si>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</si>
  <si>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</si>
  <si>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</si>
  <si>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</si>
  <si>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</si>
  <si>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</si>
  <si>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</si>
  <si>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</si>
  <si>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</si>
  <si>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</si>
  <si>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</si>
  <si>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</si>
  <si>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</si>
  <si>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</si>
  <si>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</si>
  <si>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</si>
  <si>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</si>
  <si>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</si>
  <si>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</si>
  <si>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</si>
  <si>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</si>
  <si>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</si>
  <si>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</si>
  <si>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</si>
  <si>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</si>
  <si>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</si>
  <si>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</si>
  <si>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</si>
  <si>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</si>
  <si>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</si>
  <si>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</si>
  <si>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</si>
  <si>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</si>
  <si>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</si>
  <si>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</si>
  <si>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</si>
  <si>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</si>
  <si>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</si>
  <si>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</si>
  <si>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</si>
  <si>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</si>
  <si>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</si>
  <si>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</si>
  <si>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</si>
  <si>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</si>
  <si>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</si>
  <si>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</si>
  <si>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</si>
  <si>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</si>
  <si>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</si>
  <si>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</si>
  <si>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</si>
  <si>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</si>
  <si>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</si>
  <si>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</si>
  <si>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</si>
  <si>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</si>
  <si>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</si>
  <si>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</si>
  <si>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</si>
  <si>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</si>
  <si>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</si>
  <si>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</si>
  <si>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</si>
  <si>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</si>
  <si>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</si>
  <si>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</si>
  <si>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</si>
  <si>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</si>
  <si>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</si>
  <si>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</si>
  <si>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</si>
  <si>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</si>
  <si>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</si>
  <si>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</si>
  <si>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</si>
  <si>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</si>
  <si>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</si>
  <si>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</si>
  <si>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</si>
  <si>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</si>
  <si>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</si>
  <si>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</si>
  <si>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</si>
  <si>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</si>
  <si>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</si>
  <si>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</si>
  <si>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</si>
  <si>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</si>
  <si>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</si>
  <si>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</si>
  <si>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</si>
  <si>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</si>
  <si>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</si>
  <si>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</si>
  <si>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</si>
  <si>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</si>
  <si>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</si>
  <si>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</si>
  <si>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</si>
  <si>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</si>
  <si>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</si>
  <si>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</si>
  <si>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</si>
  <si>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</si>
  <si>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</si>
  <si>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</si>
  <si>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</si>
  <si>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</si>
  <si>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</si>
  <si>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</si>
  <si>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</si>
  <si>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</si>
  <si>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</si>
  <si>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</si>
  <si>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</si>
  <si>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</si>
  <si>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</si>
  <si>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</si>
  <si>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</si>
  <si>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</si>
  <si>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</si>
  <si>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</si>
  <si>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</si>
  <si>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</si>
  <si>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</si>
  <si>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</si>
  <si>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</si>
  <si>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</si>
  <si>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</si>
  <si>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</si>
  <si>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</si>
  <si>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</si>
  <si>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</si>
  <si>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</si>
  <si>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</si>
  <si>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</si>
  <si>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</si>
  <si>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</si>
  <si>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</si>
  <si>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</si>
  <si>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</si>
  <si>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</si>
  <si>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</si>
  <si>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</si>
  <si>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</si>
  <si>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</si>
  <si>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</si>
  <si>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</si>
  <si>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</si>
  <si>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</si>
  <si>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</si>
  <si>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</si>
  <si>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</si>
  <si>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</si>
  <si>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</si>
  <si>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</si>
  <si>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</si>
  <si>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</si>
  <si>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</si>
  <si>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</si>
  <si>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</si>
  <si>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</si>
  <si>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</si>
  <si>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</si>
  <si>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</si>
  <si>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</si>
  <si>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</si>
  <si>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</si>
  <si>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</si>
  <si>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</si>
  <si>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</si>
  <si>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</si>
  <si>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</si>
  <si>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</si>
  <si>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</si>
  <si>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</si>
  <si>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</si>
  <si>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</si>
  <si>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</si>
  <si>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</si>
  <si>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</si>
  <si>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</si>
  <si>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</si>
  <si>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</si>
  <si>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</si>
  <si>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</si>
  <si>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</si>
  <si>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</si>
  <si>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</si>
  <si>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</si>
  <si>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</si>
  <si>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</si>
  <si>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</si>
  <si>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</si>
  <si>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</si>
  <si>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</si>
  <si>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</si>
  <si>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</si>
  <si>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</si>
  <si>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</si>
  <si>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</si>
  <si>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</si>
  <si>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</si>
  <si>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</si>
  <si>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</si>
  <si>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</si>
  <si>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</si>
  <si>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</si>
  <si>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</si>
  <si>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</si>
  <si>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</si>
  <si>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</si>
  <si>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</si>
  <si>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</si>
  <si>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</si>
  <si>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</si>
  <si>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</si>
  <si>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</si>
  <si>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</si>
  <si>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</si>
  <si>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</si>
  <si>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</si>
  <si>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</si>
  <si>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</si>
  <si>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</si>
  <si>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</si>
  <si>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</si>
  <si>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</si>
  <si>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</si>
  <si>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</si>
  <si>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</si>
  <si>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</si>
  <si>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</si>
  <si>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</si>
  <si>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</si>
  <si>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</si>
  <si>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</si>
  <si>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</si>
  <si>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</si>
  <si>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</si>
  <si>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</si>
  <si>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</si>
  <si>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</si>
  <si>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</si>
  <si>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</si>
  <si>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</si>
  <si>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</si>
  <si>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</si>
  <si>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</si>
  <si>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</si>
  <si>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</si>
  <si>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</si>
  <si>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</si>
  <si>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</si>
  <si>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</si>
  <si>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</si>
  <si>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</si>
  <si>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</si>
  <si>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</si>
  <si>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</si>
  <si>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</si>
  <si>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</si>
  <si>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</si>
  <si>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</si>
  <si>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</si>
  <si>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</si>
  <si>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</si>
  <si>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</si>
  <si>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</si>
  <si>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</si>
  <si>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</si>
  <si>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</si>
  <si>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</si>
  <si>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</si>
  <si>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</si>
  <si>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</si>
  <si>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</si>
  <si>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</si>
  <si>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</si>
  <si>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</si>
  <si>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</si>
  <si>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</si>
  <si>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</si>
  <si>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</si>
  <si>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</si>
  <si>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</si>
  <si>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</si>
  <si>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</si>
  <si>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</si>
  <si>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</si>
  <si>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</si>
  <si>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</si>
  <si>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</si>
  <si>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</si>
  <si>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</si>
  <si>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</si>
  <si>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</si>
  <si>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</si>
  <si>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</si>
  <si>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</si>
  <si>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</si>
  <si>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</si>
  <si>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</si>
  <si>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</si>
  <si>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</si>
  <si>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</si>
  <si>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</si>
  <si>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</si>
  <si>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</si>
  <si>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</si>
  <si>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</si>
  <si>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</si>
  <si>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</si>
  <si>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</si>
  <si>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</si>
  <si>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</si>
  <si>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</si>
  <si>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</si>
  <si>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</si>
  <si>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</si>
  <si>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</si>
  <si>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</si>
  <si>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</si>
  <si>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</si>
  <si>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</si>
  <si>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</si>
  <si>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</si>
  <si>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</si>
  <si>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</si>
  <si>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</si>
  <si>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</si>
  <si>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</si>
  <si>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</si>
  <si>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</si>
  <si>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</si>
  <si>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</si>
  <si>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</si>
  <si>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</si>
  <si>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</si>
  <si>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</si>
  <si>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</si>
  <si>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</si>
  <si>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</si>
  <si>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</si>
  <si>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</si>
  <si>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</si>
  <si>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</si>
  <si>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</si>
  <si>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</si>
  <si>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</si>
  <si>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</si>
  <si>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</si>
  <si>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</si>
  <si>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</si>
  <si>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</si>
  <si>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</si>
  <si>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</si>
  <si>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</si>
  <si>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</si>
  <si>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</si>
  <si>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</si>
  <si>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</si>
  <si>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</si>
  <si>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</si>
  <si>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</si>
  <si>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</si>
  <si>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</si>
  <si>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</si>
  <si>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</si>
  <si>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</si>
  <si>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</si>
  <si>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</si>
  <si>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</si>
  <si>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</si>
  <si>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</si>
  <si>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</si>
  <si>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</si>
  <si>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</si>
  <si>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</si>
  <si>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</si>
  <si>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</si>
  <si>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</si>
  <si>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</si>
  <si>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</si>
  <si>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</si>
  <si>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</si>
  <si>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</si>
  <si>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</si>
  <si>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</si>
  <si>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</si>
  <si>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</si>
  <si>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</si>
  <si>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</si>
  <si>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</si>
  <si>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</si>
  <si>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</si>
  <si>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</si>
  <si>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</si>
  <si>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</si>
  <si>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</si>
  <si>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</si>
  <si>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</si>
  <si>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</si>
  <si>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</si>
  <si>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</si>
  <si>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</si>
  <si>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</si>
  <si>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</si>
  <si>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</si>
  <si>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</si>
  <si>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</si>
  <si>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</si>
  <si>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</si>
  <si>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</si>
  <si>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</si>
  <si>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</si>
  <si>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</si>
  <si>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</si>
  <si>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</si>
  <si>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</si>
  <si>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</si>
  <si>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</si>
  <si>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</si>
  <si>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</si>
  <si>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</si>
  <si>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</si>
  <si>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</si>
  <si>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</si>
  <si>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</si>
  <si>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</si>
  <si>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</si>
  <si>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</si>
  <si>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</si>
  <si>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</si>
  <si>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</si>
  <si>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</si>
  <si>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</si>
  <si>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</si>
  <si>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</si>
  <si>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</si>
  <si>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</si>
  <si>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</si>
  <si>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</si>
  <si>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</si>
  <si>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</si>
  <si>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</si>
  <si>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</si>
  <si>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</si>
  <si>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</si>
  <si>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</si>
  <si>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</si>
  <si>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</si>
  <si>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</si>
  <si>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</si>
  <si>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</si>
  <si>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</si>
  <si>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</si>
  <si>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</si>
  <si>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</si>
  <si>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</si>
  <si>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</si>
  <si>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</si>
  <si>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</si>
  <si>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</si>
  <si>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</si>
  <si>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</si>
  <si>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</si>
  <si>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</si>
  <si>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</si>
  <si>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42.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</si>
  <si>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</si>
  <si>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</si>
  <si>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</si>
  <si>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</si>
  <si>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</si>
  <si>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</si>
  <si>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</si>
  <si>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</si>
  <si>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</si>
  <si>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</si>
  <si>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</si>
  <si>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</si>
  <si>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</si>
  <si>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</si>
  <si>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</si>
  <si>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</si>
  <si>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</si>
  <si>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</si>
  <si>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</si>
  <si>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</si>
  <si>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</si>
  <si>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</si>
  <si>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</si>
  <si>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</si>
  <si>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</si>
  <si>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</si>
  <si>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</si>
  <si>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</si>
  <si>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</si>
  <si>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</si>
  <si>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</si>
  <si>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</si>
  <si>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</si>
  <si>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</si>
  <si>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</si>
  <si>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</si>
  <si>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</si>
  <si>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</si>
  <si>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</si>
  <si>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</si>
  <si>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</si>
  <si>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</si>
  <si>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</si>
  <si>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</si>
  <si>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</si>
  <si>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</si>
  <si>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</si>
  <si>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</si>
  <si>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</si>
  <si>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</si>
  <si>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2021. II. félévi Képviselői felajánlások</t>
  </si>
  <si>
    <t>A gyermekek, fiatalok és családok életminőségét javító programok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</si>
  <si>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</si>
  <si>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</si>
  <si>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</si>
  <si>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</si>
  <si>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</si>
  <si>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</si>
  <si>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</si>
  <si>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</si>
  <si>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</si>
  <si>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</si>
  <si>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</si>
  <si>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</si>
  <si>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</si>
  <si>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</si>
  <si>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</si>
  <si>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</si>
  <si>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</si>
  <si>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</si>
  <si>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</si>
  <si>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</si>
  <si>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</si>
  <si>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</si>
  <si>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</si>
  <si>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</si>
  <si>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</si>
  <si>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</si>
  <si>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</si>
  <si>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</si>
  <si>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</si>
  <si>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</si>
  <si>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</si>
  <si>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</si>
  <si>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</si>
  <si>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</si>
  <si>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</si>
  <si>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</si>
  <si>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</si>
  <si>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</si>
  <si>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</si>
  <si>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</si>
  <si>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</si>
  <si>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</si>
  <si>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</si>
  <si>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</si>
  <si>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</si>
  <si>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</si>
  <si>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</si>
  <si>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</si>
  <si>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</si>
  <si>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</si>
  <si>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</si>
  <si>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</si>
  <si>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</si>
  <si>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</si>
  <si>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</si>
  <si>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</si>
  <si>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</si>
  <si>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</si>
  <si>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</si>
  <si>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</si>
  <si>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</si>
  <si>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</si>
  <si>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</si>
  <si>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</si>
  <si>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</si>
  <si>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</si>
  <si>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</si>
  <si>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</si>
  <si>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</si>
  <si>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</si>
  <si>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</si>
  <si>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</si>
  <si>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</si>
  <si>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</si>
  <si>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</si>
  <si>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</si>
  <si>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</si>
  <si>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</si>
  <si>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</si>
  <si>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</si>
  <si>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</si>
  <si>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</si>
  <si>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</si>
  <si>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</si>
  <si>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</si>
  <si>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</si>
  <si>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</si>
  <si>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</si>
  <si>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</si>
  <si>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</si>
  <si>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</si>
  <si>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</si>
  <si>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</si>
  <si>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</si>
  <si>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Pályázati önerő:  könyvtári: 400 eFt</t>
  </si>
  <si>
    <t>072312</t>
  </si>
  <si>
    <t>Fogorvosi ügyeleti ellátás</t>
  </si>
  <si>
    <t>Bölcsődei nevelés fejlesztése pályázat</t>
  </si>
  <si>
    <t>2022-2023</t>
  </si>
  <si>
    <t>Tiszavasvári Komplex felzárkózási program szakmai rész 2022</t>
  </si>
  <si>
    <t xml:space="preserve">Tiszavasvári Komplex felzárkózási program szakmai rész 2021 </t>
  </si>
  <si>
    <t>Lektori lakás ablakcsere</t>
  </si>
  <si>
    <r>
      <t>EU-s projekt neve, azonosítója:</t>
    </r>
    <r>
      <rPr>
        <sz val="11"/>
        <rFont val="Times New Roman"/>
        <family val="1"/>
        <charset val="238"/>
      </rPr>
      <t xml:space="preserve"> Bölcsődei nevelés fejlesztése - RRF-1.1.2-2022-00101</t>
    </r>
  </si>
  <si>
    <t>Diabétesz ellátási pótlék</t>
  </si>
  <si>
    <t>1.2.7.</t>
  </si>
  <si>
    <t>A települési önkormányzatok egyes köznevelési feladatainak támogatása 1.2. = (10.+...+15.)</t>
  </si>
  <si>
    <t>47.</t>
  </si>
  <si>
    <t>Egyes szociális és gyermekjóléti feladatok támogatása 1.3.2+2.2=(18.+…+28.)</t>
  </si>
  <si>
    <t>A települési önkormányzatok szociális és gyermekjóléti feladatainak támogatása 1.3.=(16.+29.+33.+36.)</t>
  </si>
  <si>
    <t>A települési önkormányzatok gyermekétkeztetési feladatainak támogatása 1.4.=(38.+39.+40.)</t>
  </si>
  <si>
    <t>A települési önkormányzatok kulturális feladatainak támogatása 1.5.=(42.+43.+44.)</t>
  </si>
  <si>
    <t>Összesen: 46.=(9.+16.+37.+41.+45.+46.)</t>
  </si>
  <si>
    <t>2022. I.-II. negyedévi Képviselői felajánlások</t>
  </si>
  <si>
    <t>Civil szervezetek felhalmozási támogatása</t>
  </si>
  <si>
    <t>Összesen: 19.=1.+…+18.</t>
  </si>
  <si>
    <t>- Önkormányzat nyári diákmunka</t>
  </si>
  <si>
    <t>Nyári diákmunka keretében foglalkoztatott (fő)</t>
  </si>
  <si>
    <t>052020</t>
  </si>
  <si>
    <t>Szennyvíz gyűjtése, tisztítása, elhelyezése</t>
  </si>
  <si>
    <t>Élhető településközpont kialakítása Tiszavasváriban</t>
  </si>
  <si>
    <t>2022-2025</t>
  </si>
  <si>
    <t>Tiszavasvári Varázsceruza Óvoda infrastrukturális fejlesztése</t>
  </si>
  <si>
    <t>Energetikai fejlesztések Tiszavasvári intézményeiben</t>
  </si>
  <si>
    <t xml:space="preserve">Kornisné kazán (tervezés) </t>
  </si>
  <si>
    <r>
      <t>EU-s projekt neve, azonosítója:</t>
    </r>
    <r>
      <rPr>
        <sz val="11"/>
        <rFont val="Times New Roman"/>
        <family val="1"/>
        <charset val="238"/>
      </rPr>
      <t xml:space="preserve"> Élhető településközpont kialakítása Tiszavasváriban - TOP_PLUSZ-1.2.1-21-SB1-2022-00006 </t>
    </r>
  </si>
  <si>
    <r>
      <t>EU-s projekt neve, azonosítója:</t>
    </r>
    <r>
      <rPr>
        <sz val="11"/>
        <rFont val="Times New Roman"/>
        <family val="1"/>
        <charset val="238"/>
      </rPr>
      <t xml:space="preserve"> Energetikai fejlesztések Tiszavasvári intézményeiben  - TOP_PLUSZ-2.1.1-21-SB1-2022-00035 </t>
    </r>
  </si>
  <si>
    <t>Pályázati tartalék</t>
  </si>
  <si>
    <r>
      <t>EU-s projekt neve, azonosítója:</t>
    </r>
    <r>
      <rPr>
        <sz val="11"/>
        <rFont val="Times New Roman"/>
        <family val="1"/>
        <charset val="238"/>
      </rPr>
      <t xml:space="preserve"> Tiszavasvári Varázsceruza Óvoda infrastrukturális fejlesztése  - TOP_PLUSZ-2.1.1-21-SB1-2022-00035</t>
    </r>
  </si>
  <si>
    <t>Önkormányzati finanszírozás</t>
  </si>
  <si>
    <t>091110</t>
  </si>
  <si>
    <t>Óvodai nevelés, ellátás szakmai feladatai</t>
  </si>
  <si>
    <t>Könyvtári könyvek beszerzése (2020. évi SZJA 1 %)</t>
  </si>
  <si>
    <t>Eszközbeszerzés (Könyvtári érdekeltségnöv.tám.) + (2021. évi SZJA 1 %) + (egyéb)</t>
  </si>
  <si>
    <t>Minimanó kazáncsere</t>
  </si>
  <si>
    <t>Kornisné kazán</t>
  </si>
  <si>
    <t>Ellenőrzés:</t>
  </si>
  <si>
    <t>2023.</t>
  </si>
  <si>
    <t>II.24.</t>
  </si>
  <si>
    <t>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</si>
</sst>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8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10"/>
      <name val="MS Sans Serif"/>
      <charset val="238"/>
    </font>
    <font>
      <sz val="12"/>
      <color rgb="FFFF0000"/>
      <name val="Times New Roman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478">
    <xf numFmtId="0" fontId="0" fillId="0" borderId="0" xfId="0"/>
    <xf numFmtId="166" fontId="11" fillId="0" borderId="0" xfId="0" applyNumberFormat="1" applyFont="1" applyAlignment="1">
      <alignment vertical="center" wrapText="1"/>
    </xf>
    <xf numFmtId="0" fontId="15" fillId="0" borderId="0" xfId="21" applyFont="1" applyAlignment="1">
      <alignment horizontal="center" vertical="center" wrapText="1"/>
    </xf>
    <xf numFmtId="0" fontId="15" fillId="0" borderId="0" xfId="21" applyFont="1" applyAlignment="1">
      <alignment vertical="center" wrapText="1"/>
    </xf>
    <xf numFmtId="0" fontId="29" fillId="0" borderId="1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vertical="center" wrapText="1" indent="1"/>
    </xf>
    <xf numFmtId="0" fontId="29" fillId="0" borderId="3" xfId="21" applyFont="1" applyBorder="1" applyAlignment="1">
      <alignment horizontal="left" vertical="center" wrapText="1" indent="1"/>
    </xf>
    <xf numFmtId="0" fontId="29" fillId="0" borderId="4" xfId="21" applyFont="1" applyBorder="1" applyAlignment="1">
      <alignment horizontal="left" vertical="center" wrapText="1" indent="1"/>
    </xf>
    <xf numFmtId="0" fontId="29" fillId="0" borderId="5" xfId="21" applyFont="1" applyBorder="1" applyAlignment="1">
      <alignment horizontal="left" vertical="center" wrapText="1" indent="1"/>
    </xf>
    <xf numFmtId="0" fontId="29" fillId="0" borderId="6" xfId="21" applyFont="1" applyBorder="1" applyAlignment="1">
      <alignment horizontal="left" vertical="center" wrapText="1" indent="1"/>
    </xf>
    <xf numFmtId="49" fontId="29" fillId="0" borderId="7" xfId="21" applyNumberFormat="1" applyFont="1" applyBorder="1" applyAlignment="1">
      <alignment horizontal="left" vertical="center" wrapText="1" indent="1"/>
    </xf>
    <xf numFmtId="49" fontId="29" fillId="0" borderId="8" xfId="21" applyNumberFormat="1" applyFont="1" applyBorder="1" applyAlignment="1">
      <alignment horizontal="left" vertical="center" wrapText="1" indent="1"/>
    </xf>
    <xf numFmtId="49" fontId="29" fillId="0" borderId="9" xfId="21" applyNumberFormat="1" applyFont="1" applyBorder="1" applyAlignment="1">
      <alignment horizontal="left" vertical="center" wrapText="1" indent="1"/>
    </xf>
    <xf numFmtId="49" fontId="29" fillId="0" borderId="10" xfId="21" applyNumberFormat="1" applyFont="1" applyBorder="1" applyAlignment="1">
      <alignment horizontal="left" vertical="center" wrapText="1" indent="1"/>
    </xf>
    <xf numFmtId="49" fontId="29" fillId="0" borderId="11" xfId="21" applyNumberFormat="1" applyFont="1" applyBorder="1" applyAlignment="1">
      <alignment horizontal="left" vertical="center" wrapText="1" indent="1"/>
    </xf>
    <xf numFmtId="49" fontId="29" fillId="0" borderId="12" xfId="21" applyNumberFormat="1" applyFont="1" applyBorder="1" applyAlignment="1">
      <alignment horizontal="left" vertical="center" wrapText="1" indent="1"/>
    </xf>
    <xf numFmtId="0" fontId="29" fillId="0" borderId="0" xfId="21" applyFont="1" applyAlignment="1">
      <alignment horizontal="left" vertical="center" wrapText="1" indent="1"/>
    </xf>
    <xf numFmtId="0" fontId="27" fillId="0" borderId="13" xfId="21" applyFont="1" applyBorder="1" applyAlignment="1">
      <alignment horizontal="left" vertical="center" wrapText="1" indent="1"/>
    </xf>
    <xf numFmtId="0" fontId="27" fillId="0" borderId="14" xfId="21" applyFont="1" applyBorder="1" applyAlignment="1">
      <alignment horizontal="left" vertical="center" wrapText="1" indent="1"/>
    </xf>
    <xf numFmtId="0" fontId="27" fillId="0" borderId="15" xfId="21" applyFont="1" applyBorder="1" applyAlignment="1">
      <alignment horizontal="left" vertical="center" wrapText="1" indent="1"/>
    </xf>
    <xf numFmtId="0" fontId="16" fillId="0" borderId="13" xfId="21" applyFont="1" applyBorder="1" applyAlignment="1">
      <alignment horizontal="center" vertical="center" wrapText="1"/>
    </xf>
    <xf numFmtId="0" fontId="16" fillId="0" borderId="14" xfId="21" applyFont="1" applyBorder="1" applyAlignment="1">
      <alignment horizontal="center" vertical="center" wrapText="1"/>
    </xf>
    <xf numFmtId="0" fontId="27" fillId="0" borderId="14" xfId="21" applyFont="1" applyBorder="1" applyAlignment="1">
      <alignment vertical="center" wrapText="1"/>
    </xf>
    <xf numFmtId="0" fontId="27" fillId="0" borderId="16" xfId="21" applyFont="1" applyBorder="1" applyAlignment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Border="1" applyAlignment="1">
      <alignment horizontal="center" vertical="center" wrapText="1"/>
    </xf>
    <xf numFmtId="0" fontId="27" fillId="0" borderId="14" xfId="21" applyFont="1" applyBorder="1" applyAlignment="1">
      <alignment horizontal="center" vertical="center" wrapText="1"/>
    </xf>
    <xf numFmtId="0" fontId="27" fillId="0" borderId="19" xfId="21" applyFont="1" applyBorder="1" applyAlignment="1">
      <alignment horizontal="center" vertical="center" wrapText="1"/>
    </xf>
    <xf numFmtId="0" fontId="16" fillId="0" borderId="14" xfId="23" applyFont="1" applyBorder="1" applyAlignment="1">
      <alignment horizontal="left" vertical="center" indent="1"/>
    </xf>
    <xf numFmtId="0" fontId="16" fillId="0" borderId="19" xfId="21" applyFont="1" applyBorder="1" applyAlignment="1">
      <alignment horizontal="center" vertical="center" wrapText="1"/>
    </xf>
    <xf numFmtId="166" fontId="29" fillId="0" borderId="8" xfId="0" applyNumberFormat="1" applyFont="1" applyBorder="1" applyAlignment="1" applyProtection="1">
      <alignment horizontal="left" vertical="center" wrapText="1" indent="1"/>
      <protection locked="0"/>
    </xf>
    <xf numFmtId="166" fontId="0" fillId="0" borderId="0" xfId="0" applyNumberForma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6" fontId="18" fillId="0" borderId="0" xfId="0" applyNumberFormat="1" applyFont="1" applyAlignment="1">
      <alignment vertical="center" wrapText="1"/>
    </xf>
    <xf numFmtId="166" fontId="3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0" fillId="0" borderId="0" xfId="23"/>
    <xf numFmtId="0" fontId="29" fillId="0" borderId="13" xfId="23" applyFont="1" applyBorder="1" applyAlignment="1">
      <alignment horizontal="left" vertical="center" indent="1"/>
    </xf>
    <xf numFmtId="0" fontId="20" fillId="0" borderId="0" xfId="23" applyAlignment="1">
      <alignment vertical="center"/>
    </xf>
    <xf numFmtId="0" fontId="29" fillId="0" borderId="7" xfId="23" applyFont="1" applyBorder="1" applyAlignment="1">
      <alignment horizontal="left" vertical="center" indent="1"/>
    </xf>
    <xf numFmtId="0" fontId="29" fillId="0" borderId="8" xfId="23" applyFont="1" applyBorder="1" applyAlignment="1">
      <alignment horizontal="left" vertical="center" indent="1"/>
    </xf>
    <xf numFmtId="166" fontId="29" fillId="0" borderId="2" xfId="23" applyNumberFormat="1" applyFont="1" applyBorder="1" applyAlignment="1" applyProtection="1">
      <alignment vertical="center"/>
      <protection locked="0"/>
    </xf>
    <xf numFmtId="0" fontId="20" fillId="0" borderId="0" xfId="23" applyAlignment="1" applyProtection="1">
      <alignment vertical="center"/>
      <protection locked="0"/>
    </xf>
    <xf numFmtId="166" fontId="27" fillId="0" borderId="14" xfId="23" applyNumberFormat="1" applyFont="1" applyBorder="1" applyAlignment="1">
      <alignment vertical="center"/>
    </xf>
    <xf numFmtId="0" fontId="27" fillId="0" borderId="13" xfId="23" applyFont="1" applyBorder="1" applyAlignment="1">
      <alignment horizontal="left" vertical="center" indent="1"/>
    </xf>
    <xf numFmtId="166" fontId="27" fillId="0" borderId="14" xfId="23" applyNumberFormat="1" applyFont="1" applyBorder="1"/>
    <xf numFmtId="0" fontId="23" fillId="0" borderId="0" xfId="23" applyFont="1"/>
    <xf numFmtId="0" fontId="41" fillId="0" borderId="0" xfId="23" applyFont="1" applyProtection="1">
      <protection locked="0"/>
    </xf>
    <xf numFmtId="0" fontId="31" fillId="0" borderId="0" xfId="23" applyFont="1" applyProtection="1">
      <protection locked="0"/>
    </xf>
    <xf numFmtId="3" fontId="1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5" fillId="0" borderId="14" xfId="21" applyFont="1" applyBorder="1" applyAlignment="1">
      <alignment horizontal="left" vertical="center" wrapText="1" indent="1"/>
    </xf>
    <xf numFmtId="166" fontId="35" fillId="0" borderId="13" xfId="0" applyNumberFormat="1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right"/>
    </xf>
    <xf numFmtId="0" fontId="36" fillId="0" borderId="25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indent="6"/>
    </xf>
    <xf numFmtId="0" fontId="29" fillId="0" borderId="2" xfId="21" applyFont="1" applyBorder="1" applyAlignment="1">
      <alignment horizontal="left" vertical="center" wrapText="1" indent="6"/>
    </xf>
    <xf numFmtId="0" fontId="29" fillId="0" borderId="6" xfId="21" applyFont="1" applyBorder="1" applyAlignment="1">
      <alignment horizontal="left" vertical="center" wrapText="1" indent="6"/>
    </xf>
    <xf numFmtId="0" fontId="29" fillId="0" borderId="21" xfId="21" applyFont="1" applyBorder="1" applyAlignment="1">
      <alignment horizontal="left" vertical="center" wrapText="1" indent="6"/>
    </xf>
    <xf numFmtId="0" fontId="19" fillId="0" borderId="0" xfId="0" applyFont="1"/>
    <xf numFmtId="0" fontId="30" fillId="0" borderId="0" xfId="0" applyFont="1" applyAlignment="1">
      <alignment horizontal="right"/>
    </xf>
    <xf numFmtId="0" fontId="35" fillId="0" borderId="11" xfId="21" applyFont="1" applyBorder="1" applyAlignment="1">
      <alignment horizontal="center" vertical="center" wrapText="1"/>
    </xf>
    <xf numFmtId="0" fontId="35" fillId="0" borderId="4" xfId="21" applyFont="1" applyBorder="1" applyAlignment="1">
      <alignment horizontal="center" vertical="center" wrapText="1"/>
    </xf>
    <xf numFmtId="0" fontId="35" fillId="0" borderId="17" xfId="21" applyFont="1" applyBorder="1" applyAlignment="1">
      <alignment horizontal="center" vertical="center" wrapText="1"/>
    </xf>
    <xf numFmtId="0" fontId="36" fillId="0" borderId="11" xfId="21" applyFont="1" applyBorder="1" applyAlignment="1">
      <alignment horizontal="center" vertical="center"/>
    </xf>
    <xf numFmtId="0" fontId="36" fillId="0" borderId="8" xfId="2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166" fontId="16" fillId="0" borderId="13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left" vertical="center" wrapText="1"/>
    </xf>
    <xf numFmtId="166" fontId="26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0" fontId="16" fillId="0" borderId="16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166" fontId="16" fillId="0" borderId="32" xfId="0" applyNumberFormat="1" applyFont="1" applyBorder="1" applyAlignment="1">
      <alignment horizontal="center" vertical="center" wrapText="1"/>
    </xf>
    <xf numFmtId="0" fontId="35" fillId="0" borderId="14" xfId="0" applyFont="1" applyBorder="1" applyAlignment="1">
      <alignment horizontal="left" vertical="center" wrapText="1" indent="1"/>
    </xf>
    <xf numFmtId="0" fontId="34" fillId="0" borderId="13" xfId="0" applyFont="1" applyBorder="1" applyAlignment="1">
      <alignment horizontal="center" vertical="center" wrapText="1"/>
    </xf>
    <xf numFmtId="0" fontId="44" fillId="0" borderId="33" xfId="0" applyFont="1" applyBorder="1" applyAlignment="1">
      <alignment horizontal="left" wrapText="1" indent="1"/>
    </xf>
    <xf numFmtId="0" fontId="2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27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12" fillId="0" borderId="13" xfId="0" applyFont="1" applyBorder="1" applyAlignment="1">
      <alignment horizontal="left" vertical="center"/>
    </xf>
    <xf numFmtId="0" fontId="12" fillId="0" borderId="33" xfId="0" applyFont="1" applyBorder="1" applyAlignment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Alignment="1">
      <alignment vertical="center" wrapText="1"/>
    </xf>
    <xf numFmtId="166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0" fontId="29" fillId="0" borderId="2" xfId="23" applyFont="1" applyBorder="1" applyAlignment="1">
      <alignment horizontal="left" vertical="center" indent="1"/>
    </xf>
    <xf numFmtId="0" fontId="29" fillId="0" borderId="3" xfId="23" applyFont="1" applyBorder="1" applyAlignment="1">
      <alignment horizontal="left" vertical="center" wrapText="1" indent="1"/>
    </xf>
    <xf numFmtId="0" fontId="29" fillId="0" borderId="2" xfId="23" applyFont="1" applyBorder="1" applyAlignment="1">
      <alignment horizontal="left" vertical="center" wrapText="1" indent="1"/>
    </xf>
    <xf numFmtId="0" fontId="16" fillId="0" borderId="14" xfId="23" applyFont="1" applyBorder="1" applyAlignment="1">
      <alignment horizontal="left" indent="1"/>
    </xf>
    <xf numFmtId="0" fontId="34" fillId="0" borderId="14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left" vertical="center" wrapText="1" indent="1"/>
    </xf>
    <xf numFmtId="0" fontId="33" fillId="0" borderId="6" xfId="0" applyFont="1" applyBorder="1" applyAlignment="1">
      <alignment horizontal="left" vertical="center" wrapText="1" indent="1"/>
    </xf>
    <xf numFmtId="0" fontId="34" fillId="0" borderId="39" xfId="0" applyFont="1" applyBorder="1" applyAlignment="1">
      <alignment horizontal="left" vertical="center" wrapText="1" indent="1"/>
    </xf>
    <xf numFmtId="166" fontId="27" fillId="0" borderId="28" xfId="21" applyNumberFormat="1" applyFont="1" applyBorder="1" applyAlignment="1">
      <alignment horizontal="right" vertical="center" wrapText="1" indent="1"/>
    </xf>
    <xf numFmtId="166" fontId="27" fillId="0" borderId="19" xfId="21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Border="1" applyAlignment="1">
      <alignment horizontal="right" vertical="center" wrapText="1" indent="1"/>
    </xf>
    <xf numFmtId="166" fontId="15" fillId="0" borderId="0" xfId="21" applyNumberFormat="1" applyFont="1" applyAlignment="1">
      <alignment horizontal="right" vertical="center" wrapText="1" indent="1"/>
    </xf>
    <xf numFmtId="166" fontId="29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>
      <alignment horizontal="right" vertical="center" wrapText="1" indent="1"/>
    </xf>
    <xf numFmtId="0" fontId="14" fillId="0" borderId="24" xfId="0" applyFont="1" applyBorder="1" applyAlignment="1">
      <alignment horizontal="right" vertical="center"/>
    </xf>
    <xf numFmtId="166" fontId="35" fillId="0" borderId="14" xfId="0" applyNumberFormat="1" applyFont="1" applyBorder="1" applyAlignment="1">
      <alignment horizontal="right" vertical="center" wrapText="1" indent="1"/>
    </xf>
    <xf numFmtId="166" fontId="36" fillId="0" borderId="1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Border="1" applyAlignment="1">
      <alignment horizontal="right" vertical="center" wrapText="1" indent="1"/>
    </xf>
    <xf numFmtId="166" fontId="36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Alignment="1">
      <alignment horizontal="center" vertical="center" wrapText="1"/>
    </xf>
    <xf numFmtId="166" fontId="35" fillId="0" borderId="27" xfId="0" applyNumberFormat="1" applyFont="1" applyBorder="1" applyAlignment="1">
      <alignment horizontal="center" vertical="center" wrapText="1"/>
    </xf>
    <xf numFmtId="166" fontId="35" fillId="0" borderId="13" xfId="0" applyNumberFormat="1" applyFont="1" applyBorder="1" applyAlignment="1">
      <alignment horizontal="center" vertical="center" wrapText="1"/>
    </xf>
    <xf numFmtId="166" fontId="35" fillId="0" borderId="14" xfId="0" applyNumberFormat="1" applyFont="1" applyBorder="1" applyAlignment="1">
      <alignment horizontal="center" vertical="center" wrapText="1"/>
    </xf>
    <xf numFmtId="166" fontId="35" fillId="0" borderId="19" xfId="0" applyNumberFormat="1" applyFont="1" applyBorder="1" applyAlignment="1">
      <alignment horizontal="center" vertical="center" wrapText="1"/>
    </xf>
    <xf numFmtId="166" fontId="35" fillId="0" borderId="0" xfId="0" applyNumberFormat="1" applyFont="1" applyAlignment="1">
      <alignment horizontal="center" vertical="center" wrapText="1"/>
    </xf>
    <xf numFmtId="166" fontId="0" fillId="0" borderId="41" xfId="0" applyNumberForma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1"/>
    </xf>
    <xf numFmtId="166" fontId="0" fillId="0" borderId="42" xfId="0" applyNumberFormat="1" applyBorder="1" applyAlignment="1">
      <alignment horizontal="left" vertical="center" wrapText="1" indent="1"/>
    </xf>
    <xf numFmtId="166" fontId="29" fillId="0" borderId="8" xfId="0" applyNumberFormat="1" applyFont="1" applyBorder="1" applyAlignment="1">
      <alignment horizontal="left" vertical="center" wrapText="1" indent="1"/>
    </xf>
    <xf numFmtId="166" fontId="38" fillId="0" borderId="27" xfId="0" applyNumberFormat="1" applyFont="1" applyBorder="1" applyAlignment="1">
      <alignment horizontal="left" vertical="center" wrapText="1" indent="1"/>
    </xf>
    <xf numFmtId="166" fontId="36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1"/>
    </xf>
    <xf numFmtId="166" fontId="40" fillId="0" borderId="2" xfId="0" applyNumberFormat="1" applyFont="1" applyBorder="1" applyAlignment="1">
      <alignment horizontal="right" vertical="center" wrapText="1" indent="1"/>
    </xf>
    <xf numFmtId="166" fontId="38" fillId="0" borderId="13" xfId="0" applyNumberFormat="1" applyFont="1" applyBorder="1" applyAlignment="1">
      <alignment horizontal="left" vertical="center" wrapText="1" indent="1"/>
    </xf>
    <xf numFmtId="166" fontId="38" fillId="0" borderId="44" xfId="0" applyNumberFormat="1" applyFont="1" applyBorder="1" applyAlignment="1">
      <alignment horizontal="right" vertical="center" wrapText="1" indent="1"/>
    </xf>
    <xf numFmtId="166" fontId="35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2"/>
    </xf>
    <xf numFmtId="166" fontId="36" fillId="0" borderId="2" xfId="0" applyNumberFormat="1" applyFont="1" applyBorder="1" applyAlignment="1">
      <alignment horizontal="left" vertical="center" wrapText="1" indent="2"/>
    </xf>
    <xf numFmtId="166" fontId="40" fillId="0" borderId="2" xfId="0" applyNumberFormat="1" applyFont="1" applyBorder="1" applyAlignment="1">
      <alignment horizontal="left" vertical="center" wrapText="1" indent="1"/>
    </xf>
    <xf numFmtId="166" fontId="36" fillId="0" borderId="9" xfId="0" applyNumberFormat="1" applyFon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2"/>
    </xf>
    <xf numFmtId="166" fontId="29" fillId="0" borderId="10" xfId="0" applyNumberFormat="1" applyFont="1" applyBorder="1" applyAlignment="1">
      <alignment horizontal="left" vertical="center" wrapText="1" indent="2"/>
    </xf>
    <xf numFmtId="166" fontId="40" fillId="0" borderId="3" xfId="0" applyNumberFormat="1" applyFont="1" applyBorder="1" applyAlignment="1">
      <alignment horizontal="right" vertical="center" wrapText="1" indent="1"/>
    </xf>
    <xf numFmtId="0" fontId="16" fillId="0" borderId="4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8" xfId="0" applyFont="1" applyBorder="1" applyAlignment="1">
      <alignment horizontal="right" vertical="center" wrapText="1" indent="1"/>
    </xf>
    <xf numFmtId="166" fontId="16" fillId="0" borderId="32" xfId="0" applyNumberFormat="1" applyFont="1" applyBorder="1" applyAlignment="1">
      <alignment horizontal="right" vertical="center" wrapText="1" indent="1"/>
    </xf>
    <xf numFmtId="166" fontId="29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Alignment="1">
      <alignment horizontal="right" vertical="center" wrapText="1" indent="1"/>
    </xf>
    <xf numFmtId="0" fontId="29" fillId="0" borderId="0" xfId="0" applyFont="1" applyAlignment="1">
      <alignment horizontal="right" vertical="center" wrapText="1" indent="1"/>
    </xf>
    <xf numFmtId="166" fontId="27" fillId="0" borderId="44" xfId="0" applyNumberFormat="1" applyFont="1" applyBorder="1" applyAlignment="1">
      <alignment horizontal="right" vertical="center" wrapText="1" indent="1"/>
    </xf>
    <xf numFmtId="166" fontId="27" fillId="0" borderId="19" xfId="0" applyNumberFormat="1" applyFont="1" applyBorder="1" applyAlignment="1">
      <alignment horizontal="right" vertical="center" wrapText="1" indent="1"/>
    </xf>
    <xf numFmtId="0" fontId="0" fillId="0" borderId="0" xfId="0" applyAlignment="1">
      <alignment horizontal="right" vertical="center" wrapText="1" indent="1"/>
    </xf>
    <xf numFmtId="49" fontId="16" fillId="0" borderId="17" xfId="0" applyNumberFormat="1" applyFont="1" applyBorder="1" applyAlignment="1">
      <alignment horizontal="right" vertical="center"/>
    </xf>
    <xf numFmtId="49" fontId="16" fillId="0" borderId="45" xfId="0" applyNumberFormat="1" applyFont="1" applyBorder="1" applyAlignment="1">
      <alignment horizontal="right" vertical="center"/>
    </xf>
    <xf numFmtId="0" fontId="32" fillId="0" borderId="25" xfId="0" applyFont="1" applyBorder="1" applyAlignment="1">
      <alignment horizontal="left" vertical="center" wrapText="1" indent="1"/>
    </xf>
    <xf numFmtId="0" fontId="20" fillId="0" borderId="0" xfId="21"/>
    <xf numFmtId="0" fontId="20" fillId="0" borderId="0" xfId="21" applyAlignment="1">
      <alignment horizontal="right" vertical="center" indent="1"/>
    </xf>
    <xf numFmtId="166" fontId="0" fillId="0" borderId="38" xfId="0" applyNumberFormat="1" applyBorder="1" applyAlignment="1">
      <alignment horizontal="left" vertical="center" wrapText="1" indent="1"/>
    </xf>
    <xf numFmtId="166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0" fontId="16" fillId="0" borderId="4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27" fillId="0" borderId="15" xfId="21" applyFont="1" applyBorder="1" applyAlignment="1">
      <alignment horizontal="center" vertical="center" wrapText="1"/>
    </xf>
    <xf numFmtId="0" fontId="27" fillId="0" borderId="16" xfId="21" applyFont="1" applyBorder="1" applyAlignment="1">
      <alignment horizontal="center" vertical="center" wrapText="1"/>
    </xf>
    <xf numFmtId="0" fontId="27" fillId="0" borderId="28" xfId="21" applyFont="1" applyBorder="1" applyAlignment="1">
      <alignment horizontal="center" vertical="center" wrapText="1"/>
    </xf>
    <xf numFmtId="166" fontId="29" fillId="0" borderId="20" xfId="21" applyNumberFormat="1" applyFont="1" applyBorder="1" applyAlignment="1">
      <alignment horizontal="right" vertical="center" wrapText="1" indent="1"/>
    </xf>
    <xf numFmtId="0" fontId="29" fillId="0" borderId="3" xfId="21" applyFont="1" applyBorder="1" applyAlignment="1">
      <alignment horizontal="left" vertical="center" wrapText="1" indent="6"/>
    </xf>
    <xf numFmtId="0" fontId="29" fillId="0" borderId="0" xfId="21" applyFont="1"/>
    <xf numFmtId="0" fontId="23" fillId="0" borderId="0" xfId="21" applyFont="1"/>
    <xf numFmtId="0" fontId="33" fillId="0" borderId="3" xfId="0" applyFont="1" applyBorder="1" applyAlignment="1">
      <alignment horizontal="left" wrapText="1" indent="1"/>
    </xf>
    <xf numFmtId="0" fontId="33" fillId="0" borderId="2" xfId="0" applyFont="1" applyBorder="1" applyAlignment="1">
      <alignment horizontal="left" wrapText="1" indent="1"/>
    </xf>
    <xf numFmtId="0" fontId="33" fillId="0" borderId="6" xfId="0" applyFont="1" applyBorder="1" applyAlignment="1">
      <alignment horizontal="left" wrapText="1" indent="1"/>
    </xf>
    <xf numFmtId="0" fontId="33" fillId="0" borderId="6" xfId="0" applyFont="1" applyBorder="1" applyAlignment="1">
      <alignment wrapText="1"/>
    </xf>
    <xf numFmtId="0" fontId="33" fillId="0" borderId="9" xfId="0" applyFont="1" applyBorder="1" applyAlignment="1">
      <alignment wrapText="1"/>
    </xf>
    <xf numFmtId="0" fontId="33" fillId="0" borderId="8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0" fontId="34" fillId="0" borderId="25" xfId="0" applyFont="1" applyBorder="1" applyAlignment="1">
      <alignment wrapText="1"/>
    </xf>
    <xf numFmtId="166" fontId="32" fillId="0" borderId="19" xfId="0" quotePrefix="1" applyNumberFormat="1" applyFont="1" applyBorder="1" applyAlignment="1">
      <alignment horizontal="right" vertical="center" wrapText="1" indent="1"/>
    </xf>
    <xf numFmtId="0" fontId="31" fillId="0" borderId="0" xfId="21" applyFont="1"/>
    <xf numFmtId="166" fontId="36" fillId="0" borderId="0" xfId="0" applyNumberFormat="1" applyFont="1" applyAlignment="1" applyProtection="1">
      <alignment horizontal="left" vertical="center" wrapText="1" indent="1"/>
      <protection locked="0"/>
    </xf>
    <xf numFmtId="166" fontId="29" fillId="0" borderId="7" xfId="0" applyNumberFormat="1" applyFont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Border="1" applyAlignment="1">
      <alignment horizontal="center" vertical="center" wrapText="1"/>
    </xf>
    <xf numFmtId="49" fontId="29" fillId="0" borderId="8" xfId="21" applyNumberFormat="1" applyFont="1" applyBorder="1" applyAlignment="1">
      <alignment horizontal="center" vertical="center" wrapText="1"/>
    </xf>
    <xf numFmtId="49" fontId="29" fillId="0" borderId="10" xfId="21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wrapText="1"/>
    </xf>
    <xf numFmtId="0" fontId="33" fillId="0" borderId="9" xfId="0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0" fontId="33" fillId="0" borderId="10" xfId="0" applyFont="1" applyBorder="1" applyAlignment="1">
      <alignment horizontal="center" wrapText="1"/>
    </xf>
    <xf numFmtId="0" fontId="34" fillId="0" borderId="39" xfId="0" applyFont="1" applyBorder="1" applyAlignment="1">
      <alignment horizontal="center" wrapText="1"/>
    </xf>
    <xf numFmtId="49" fontId="29" fillId="0" borderId="11" xfId="21" applyNumberFormat="1" applyFont="1" applyBorder="1" applyAlignment="1">
      <alignment horizontal="center" vertical="center" wrapText="1"/>
    </xf>
    <xf numFmtId="49" fontId="29" fillId="0" borderId="7" xfId="21" applyNumberFormat="1" applyFont="1" applyBorder="1" applyAlignment="1">
      <alignment horizontal="center" vertical="center" wrapText="1"/>
    </xf>
    <xf numFmtId="49" fontId="29" fillId="0" borderId="12" xfId="21" applyNumberFormat="1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49" fontId="36" fillId="0" borderId="9" xfId="0" applyNumberFormat="1" applyFont="1" applyBorder="1" applyAlignment="1">
      <alignment horizontal="center" vertical="center" wrapText="1"/>
    </xf>
    <xf numFmtId="0" fontId="36" fillId="0" borderId="3" xfId="21" applyFont="1" applyBorder="1" applyAlignment="1">
      <alignment horizontal="left" vertical="center" wrapText="1" indent="1"/>
    </xf>
    <xf numFmtId="0" fontId="36" fillId="0" borderId="2" xfId="21" applyFont="1" applyBorder="1" applyAlignment="1">
      <alignment horizontal="left" vertical="center" wrapText="1" indent="1"/>
    </xf>
    <xf numFmtId="0" fontId="45" fillId="0" borderId="0" xfId="0" applyFont="1" applyAlignment="1">
      <alignment horizontal="right" vertical="top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166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0" fontId="29" fillId="0" borderId="1" xfId="23" applyFont="1" applyBorder="1" applyAlignment="1">
      <alignment horizontal="left" vertical="center" wrapText="1" indent="1"/>
    </xf>
    <xf numFmtId="166" fontId="40" fillId="0" borderId="1" xfId="0" applyNumberFormat="1" applyFont="1" applyBorder="1" applyAlignment="1">
      <alignment horizontal="right" vertical="center" wrapText="1" indent="1"/>
    </xf>
    <xf numFmtId="166" fontId="41" fillId="0" borderId="0" xfId="0" applyNumberFormat="1" applyFont="1" applyAlignment="1">
      <alignment vertical="center" wrapText="1"/>
    </xf>
    <xf numFmtId="166" fontId="14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66" fontId="0" fillId="0" borderId="0" xfId="0" applyNumberFormat="1" applyAlignment="1" applyProtection="1">
      <alignment vertical="center" wrapText="1"/>
      <protection locked="0"/>
    </xf>
    <xf numFmtId="166" fontId="38" fillId="0" borderId="0" xfId="0" applyNumberFormat="1" applyFont="1" applyAlignment="1">
      <alignment vertical="center" wrapText="1"/>
    </xf>
    <xf numFmtId="166" fontId="31" fillId="0" borderId="0" xfId="0" applyNumberFormat="1" applyFont="1" applyAlignment="1">
      <alignment vertical="center" wrapText="1"/>
    </xf>
    <xf numFmtId="166" fontId="38" fillId="0" borderId="0" xfId="0" applyNumberFormat="1" applyFont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6" fontId="36" fillId="0" borderId="2" xfId="23" applyNumberFormat="1" applyFont="1" applyBorder="1" applyAlignment="1" applyProtection="1">
      <alignment vertical="center"/>
      <protection locked="0"/>
    </xf>
    <xf numFmtId="166" fontId="36" fillId="0" borderId="3" xfId="23" applyNumberFormat="1" applyFont="1" applyBorder="1" applyAlignment="1" applyProtection="1">
      <alignment vertical="center"/>
      <protection locked="0"/>
    </xf>
    <xf numFmtId="0" fontId="33" fillId="0" borderId="2" xfId="0" quotePrefix="1" applyFont="1" applyBorder="1" applyAlignment="1">
      <alignment horizontal="left" wrapText="1" indent="1"/>
    </xf>
    <xf numFmtId="0" fontId="27" fillId="0" borderId="13" xfId="21" applyFont="1" applyBorder="1" applyAlignment="1">
      <alignment horizontal="left" vertical="center" wrapText="1"/>
    </xf>
    <xf numFmtId="0" fontId="34" fillId="0" borderId="13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34" fillId="0" borderId="39" xfId="0" applyFont="1" applyBorder="1" applyAlignment="1">
      <alignment vertical="center" wrapText="1"/>
    </xf>
    <xf numFmtId="0" fontId="29" fillId="0" borderId="21" xfId="21" applyFont="1" applyBorder="1" applyAlignment="1">
      <alignment horizontal="left" vertical="center" wrapText="1" indent="7"/>
    </xf>
    <xf numFmtId="0" fontId="27" fillId="0" borderId="39" xfId="21" applyFont="1" applyBorder="1" applyAlignment="1">
      <alignment horizontal="left" vertical="center" wrapText="1" indent="1"/>
    </xf>
    <xf numFmtId="0" fontId="27" fillId="0" borderId="25" xfId="21" applyFont="1" applyBorder="1" applyAlignment="1">
      <alignment vertical="center" wrapText="1"/>
    </xf>
    <xf numFmtId="166" fontId="27" fillId="0" borderId="26" xfId="21" applyNumberFormat="1" applyFont="1" applyBorder="1" applyAlignment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Border="1" applyAlignment="1">
      <alignment horizontal="center" vertical="center" wrapText="1"/>
    </xf>
    <xf numFmtId="167" fontId="50" fillId="0" borderId="0" xfId="18" applyNumberFormat="1"/>
    <xf numFmtId="166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Border="1" applyAlignment="1">
      <alignment horizontal="right" vertical="center" wrapText="1" indent="1"/>
    </xf>
    <xf numFmtId="166" fontId="36" fillId="0" borderId="1" xfId="23" applyNumberFormat="1" applyFont="1" applyBorder="1" applyAlignment="1" applyProtection="1">
      <alignment vertical="center"/>
      <protection locked="0"/>
    </xf>
    <xf numFmtId="166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0" fontId="61" fillId="0" borderId="0" xfId="0" applyFont="1" applyAlignment="1">
      <alignment vertical="center" wrapText="1"/>
    </xf>
    <xf numFmtId="166" fontId="3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Border="1" applyAlignment="1" applyProtection="1">
      <alignment horizontal="right" vertical="center" wrapText="1" indent="1"/>
      <protection locked="0"/>
    </xf>
    <xf numFmtId="0" fontId="62" fillId="0" borderId="0" xfId="0" applyFont="1" applyAlignment="1">
      <alignment vertical="center" wrapText="1"/>
    </xf>
    <xf numFmtId="166" fontId="36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44" xfId="21" applyNumberFormat="1" applyFont="1" applyBorder="1" applyAlignment="1">
      <alignment horizontal="right" vertical="center" wrapText="1" indent="1"/>
    </xf>
    <xf numFmtId="166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Border="1" applyAlignment="1">
      <alignment horizontal="right" vertical="center" wrapText="1" indent="1"/>
    </xf>
    <xf numFmtId="166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0" fontId="15" fillId="0" borderId="51" xfId="21" applyFont="1" applyBorder="1" applyAlignment="1">
      <alignment horizontal="center" vertical="center" wrapText="1"/>
    </xf>
    <xf numFmtId="0" fontId="15" fillId="0" borderId="51" xfId="21" applyFont="1" applyBorder="1" applyAlignment="1">
      <alignment vertical="center" wrapText="1"/>
    </xf>
    <xf numFmtId="166" fontId="27" fillId="0" borderId="52" xfId="21" applyNumberFormat="1" applyFont="1" applyBorder="1" applyAlignment="1">
      <alignment horizontal="right" vertical="center" wrapText="1" indent="1"/>
    </xf>
    <xf numFmtId="166" fontId="34" fillId="0" borderId="44" xfId="0" applyNumberFormat="1" applyFont="1" applyBorder="1" applyAlignment="1">
      <alignment horizontal="right" vertical="center" wrapText="1" indent="1"/>
    </xf>
    <xf numFmtId="166" fontId="32" fillId="0" borderId="44" xfId="0" quotePrefix="1" applyNumberFormat="1" applyFont="1" applyBorder="1" applyAlignment="1">
      <alignment horizontal="right" vertical="center" wrapText="1" indent="1"/>
    </xf>
    <xf numFmtId="166" fontId="63" fillId="0" borderId="0" xfId="0" applyNumberFormat="1" applyFont="1" applyAlignment="1">
      <alignment horizontal="center" vertical="center" wrapText="1"/>
    </xf>
    <xf numFmtId="166" fontId="27" fillId="0" borderId="27" xfId="21" applyNumberFormat="1" applyFont="1" applyBorder="1" applyAlignment="1">
      <alignment horizontal="right" vertical="center" wrapText="1" indent="1"/>
    </xf>
    <xf numFmtId="0" fontId="33" fillId="0" borderId="64" xfId="0" applyFont="1" applyBorder="1" applyAlignment="1">
      <alignment horizontal="left" wrapText="1" indent="1"/>
    </xf>
    <xf numFmtId="0" fontId="33" fillId="0" borderId="49" xfId="0" applyFont="1" applyBorder="1" applyAlignment="1">
      <alignment horizontal="left" wrapText="1" indent="1"/>
    </xf>
    <xf numFmtId="0" fontId="33" fillId="0" borderId="65" xfId="0" applyFont="1" applyBorder="1" applyAlignment="1">
      <alignment horizontal="left" wrapText="1" indent="1"/>
    </xf>
    <xf numFmtId="166" fontId="29" fillId="0" borderId="50" xfId="21" applyNumberFormat="1" applyFont="1" applyBorder="1" applyAlignment="1">
      <alignment horizontal="right" vertical="center" wrapText="1" indent="1"/>
    </xf>
    <xf numFmtId="166" fontId="3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Border="1" applyAlignment="1">
      <alignment horizontal="right" vertical="center" wrapText="1" indent="1"/>
    </xf>
    <xf numFmtId="166" fontId="36" fillId="0" borderId="18" xfId="21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center" vertical="center" wrapText="1"/>
    </xf>
    <xf numFmtId="166" fontId="37" fillId="0" borderId="44" xfId="0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>
      <alignment horizontal="right" vertical="center" wrapText="1" indent="1"/>
    </xf>
    <xf numFmtId="166" fontId="29" fillId="0" borderId="23" xfId="21" applyNumberFormat="1" applyFont="1" applyBorder="1" applyAlignment="1">
      <alignment horizontal="right" vertical="center" wrapText="1" indent="1"/>
    </xf>
    <xf numFmtId="166" fontId="29" fillId="0" borderId="19" xfId="21" applyNumberFormat="1" applyFont="1" applyBorder="1" applyAlignment="1">
      <alignment horizontal="right" vertical="center" wrapText="1" indent="1"/>
    </xf>
    <xf numFmtId="0" fontId="11" fillId="0" borderId="0" xfId="21" applyFont="1" applyAlignment="1">
      <alignment horizontal="right" vertical="center" indent="1"/>
    </xf>
    <xf numFmtId="166" fontId="20" fillId="0" borderId="0" xfId="21" applyNumberFormat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/>
    <xf numFmtId="3" fontId="28" fillId="0" borderId="0" xfId="19" applyNumberFormat="1" applyFont="1"/>
    <xf numFmtId="3" fontId="26" fillId="0" borderId="0" xfId="19" applyNumberFormat="1" applyFont="1"/>
    <xf numFmtId="3" fontId="58" fillId="0" borderId="0" xfId="19" applyNumberFormat="1" applyFont="1"/>
    <xf numFmtId="3" fontId="59" fillId="0" borderId="0" xfId="19" applyNumberFormat="1" applyFont="1"/>
    <xf numFmtId="166" fontId="61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0" fontId="53" fillId="0" borderId="0" xfId="0" applyFont="1" applyAlignment="1">
      <alignment vertical="center" wrapText="1"/>
    </xf>
    <xf numFmtId="0" fontId="37" fillId="0" borderId="15" xfId="23" applyFont="1" applyBorder="1" applyAlignment="1" applyProtection="1">
      <alignment horizontal="center" vertical="center" wrapText="1"/>
      <protection locked="0"/>
    </xf>
    <xf numFmtId="0" fontId="37" fillId="0" borderId="16" xfId="23" applyFont="1" applyBorder="1" applyAlignment="1" applyProtection="1">
      <alignment horizontal="center" vertical="center"/>
      <protection locked="0"/>
    </xf>
    <xf numFmtId="0" fontId="37" fillId="0" borderId="28" xfId="23" applyFont="1" applyBorder="1" applyAlignment="1" applyProtection="1">
      <alignment horizontal="center" vertical="center"/>
      <protection locked="0"/>
    </xf>
    <xf numFmtId="166" fontId="29" fillId="0" borderId="28" xfId="21" applyNumberFormat="1" applyFont="1" applyBorder="1" applyAlignment="1">
      <alignment horizontal="right" vertical="center" wrapText="1" indent="1"/>
    </xf>
    <xf numFmtId="0" fontId="76" fillId="0" borderId="0" xfId="0" applyFont="1" applyAlignment="1">
      <alignment horizontal="right" vertical="top"/>
    </xf>
    <xf numFmtId="49" fontId="77" fillId="0" borderId="17" xfId="0" applyNumberFormat="1" applyFont="1" applyBorder="1" applyAlignment="1">
      <alignment horizontal="right" vertical="center"/>
    </xf>
    <xf numFmtId="49" fontId="77" fillId="0" borderId="45" xfId="0" applyNumberFormat="1" applyFont="1" applyBorder="1" applyAlignment="1">
      <alignment horizontal="right" vertical="center"/>
    </xf>
    <xf numFmtId="0" fontId="78" fillId="0" borderId="0" xfId="0" applyFont="1" applyAlignment="1">
      <alignment horizontal="right"/>
    </xf>
    <xf numFmtId="0" fontId="77" fillId="0" borderId="28" xfId="0" applyFont="1" applyBorder="1" applyAlignment="1">
      <alignment horizontal="center" vertical="center" wrapText="1"/>
    </xf>
    <xf numFmtId="0" fontId="73" fillId="0" borderId="19" xfId="0" applyFont="1" applyBorder="1" applyAlignment="1">
      <alignment horizontal="center" vertical="center" wrapText="1"/>
    </xf>
    <xf numFmtId="166" fontId="77" fillId="0" borderId="32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vertical="center" wrapText="1"/>
    </xf>
    <xf numFmtId="3" fontId="36" fillId="0" borderId="0" xfId="21" applyNumberFormat="1" applyFont="1"/>
    <xf numFmtId="0" fontId="36" fillId="0" borderId="0" xfId="21" applyFont="1"/>
    <xf numFmtId="3" fontId="35" fillId="0" borderId="27" xfId="21" applyNumberFormat="1" applyFont="1" applyBorder="1"/>
    <xf numFmtId="3" fontId="36" fillId="0" borderId="20" xfId="21" applyNumberFormat="1" applyFont="1" applyBorder="1"/>
    <xf numFmtId="3" fontId="36" fillId="0" borderId="18" xfId="21" applyNumberFormat="1" applyFont="1" applyBorder="1"/>
    <xf numFmtId="3" fontId="36" fillId="0" borderId="23" xfId="21" applyNumberFormat="1" applyFont="1" applyBorder="1"/>
    <xf numFmtId="166" fontId="9" fillId="0" borderId="0" xfId="0" applyNumberFormat="1" applyFont="1" applyAlignment="1">
      <alignment vertical="center" wrapText="1"/>
    </xf>
    <xf numFmtId="3" fontId="2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 indent="1"/>
    </xf>
    <xf numFmtId="3" fontId="55" fillId="0" borderId="2" xfId="0" applyNumberFormat="1" applyFont="1" applyBorder="1" applyAlignment="1">
      <alignment vertical="center" wrapText="1"/>
    </xf>
    <xf numFmtId="3" fontId="55" fillId="0" borderId="0" xfId="0" applyNumberFormat="1" applyFont="1" applyAlignment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Alignment="1">
      <alignment vertical="center"/>
    </xf>
    <xf numFmtId="3" fontId="36" fillId="0" borderId="11" xfId="23" applyNumberFormat="1" applyFont="1" applyBorder="1" applyAlignment="1">
      <alignment vertical="center"/>
    </xf>
    <xf numFmtId="3" fontId="36" fillId="0" borderId="17" xfId="23" applyNumberFormat="1" applyFont="1" applyBorder="1" applyAlignment="1" applyProtection="1">
      <alignment vertical="center"/>
      <protection locked="0"/>
    </xf>
    <xf numFmtId="166" fontId="35" fillId="0" borderId="18" xfId="23" applyNumberFormat="1" applyFont="1" applyBorder="1" applyAlignment="1">
      <alignment vertical="center"/>
    </xf>
    <xf numFmtId="3" fontId="36" fillId="0" borderId="8" xfId="23" applyNumberFormat="1" applyFont="1" applyBorder="1" applyAlignment="1" applyProtection="1">
      <alignment vertical="center"/>
      <protection locked="0"/>
    </xf>
    <xf numFmtId="3" fontId="36" fillId="0" borderId="18" xfId="23" applyNumberFormat="1" applyFont="1" applyBorder="1" applyAlignment="1" applyProtection="1">
      <alignment vertical="center"/>
      <protection locked="0"/>
    </xf>
    <xf numFmtId="3" fontId="36" fillId="0" borderId="10" xfId="23" applyNumberFormat="1" applyFont="1" applyBorder="1" applyAlignment="1" applyProtection="1">
      <alignment vertical="center"/>
      <protection locked="0"/>
    </xf>
    <xf numFmtId="3" fontId="36" fillId="0" borderId="23" xfId="23" applyNumberFormat="1" applyFont="1" applyBorder="1" applyAlignment="1" applyProtection="1">
      <alignment vertical="center"/>
      <protection locked="0"/>
    </xf>
    <xf numFmtId="3" fontId="36" fillId="0" borderId="27" xfId="23" applyNumberFormat="1" applyFont="1" applyBorder="1" applyAlignment="1">
      <alignment vertical="center"/>
    </xf>
    <xf numFmtId="3" fontId="36" fillId="0" borderId="27" xfId="23" applyNumberFormat="1" applyFont="1" applyBorder="1" applyAlignment="1" applyProtection="1">
      <alignment vertical="center"/>
      <protection locked="0"/>
    </xf>
    <xf numFmtId="3" fontId="36" fillId="0" borderId="0" xfId="23" applyNumberFormat="1" applyFont="1" applyAlignment="1" applyProtection="1">
      <alignment vertical="center"/>
      <protection locked="0"/>
    </xf>
    <xf numFmtId="0" fontId="29" fillId="0" borderId="11" xfId="23" applyFont="1" applyBorder="1" applyAlignment="1">
      <alignment horizontal="left" vertical="center" indent="1"/>
    </xf>
    <xf numFmtId="0" fontId="29" fillId="0" borderId="4" xfId="23" applyFont="1" applyBorder="1" applyAlignment="1">
      <alignment horizontal="left" vertical="center" indent="1"/>
    </xf>
    <xf numFmtId="166" fontId="36" fillId="0" borderId="4" xfId="23" applyNumberFormat="1" applyFont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Border="1" applyAlignment="1">
      <alignment horizontal="center" vertical="center" wrapText="1"/>
    </xf>
    <xf numFmtId="166" fontId="35" fillId="0" borderId="20" xfId="21" applyNumberFormat="1" applyFont="1" applyBorder="1" applyAlignment="1">
      <alignment horizontal="center" vertical="center" wrapText="1"/>
    </xf>
    <xf numFmtId="0" fontId="27" fillId="0" borderId="70" xfId="21" applyFont="1" applyBorder="1" applyAlignment="1">
      <alignment vertical="center" wrapText="1"/>
    </xf>
    <xf numFmtId="0" fontId="35" fillId="0" borderId="68" xfId="21" applyFont="1" applyBorder="1" applyAlignment="1">
      <alignment horizontal="left" vertical="center" wrapText="1" indent="1"/>
    </xf>
    <xf numFmtId="166" fontId="35" fillId="0" borderId="40" xfId="21" applyNumberFormat="1" applyFont="1" applyBorder="1" applyAlignment="1">
      <alignment horizontal="center" vertical="center" wrapText="1"/>
    </xf>
    <xf numFmtId="166" fontId="35" fillId="0" borderId="27" xfId="21" applyNumberFormat="1" applyFont="1" applyBorder="1" applyAlignment="1">
      <alignment horizontal="center" vertical="center" wrapText="1"/>
    </xf>
    <xf numFmtId="0" fontId="32" fillId="0" borderId="70" xfId="0" applyFont="1" applyBorder="1" applyAlignment="1">
      <alignment horizontal="left" vertical="center" wrapText="1" indent="1"/>
    </xf>
    <xf numFmtId="166" fontId="36" fillId="0" borderId="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left" vertical="center" wrapText="1" indent="1"/>
    </xf>
    <xf numFmtId="0" fontId="33" fillId="0" borderId="49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horizontal="left" vertical="center" wrapText="1" indent="1"/>
    </xf>
    <xf numFmtId="0" fontId="34" fillId="0" borderId="68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vertical="center" wrapText="1"/>
    </xf>
    <xf numFmtId="0" fontId="34" fillId="0" borderId="68" xfId="0" applyFont="1" applyBorder="1" applyAlignment="1">
      <alignment wrapText="1"/>
    </xf>
    <xf numFmtId="0" fontId="34" fillId="0" borderId="70" xfId="0" applyFont="1" applyBorder="1" applyAlignment="1">
      <alignment wrapText="1"/>
    </xf>
    <xf numFmtId="0" fontId="27" fillId="0" borderId="62" xfId="21" applyFont="1" applyBorder="1" applyAlignment="1">
      <alignment vertical="center" wrapText="1"/>
    </xf>
    <xf numFmtId="0" fontId="29" fillId="0" borderId="69" xfId="21" applyFont="1" applyBorder="1" applyAlignment="1">
      <alignment horizontal="left" vertical="center" wrapText="1" indent="1"/>
    </xf>
    <xf numFmtId="0" fontId="29" fillId="0" borderId="49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6"/>
    </xf>
    <xf numFmtId="0" fontId="29" fillId="0" borderId="72" xfId="21" applyFont="1" applyBorder="1" applyAlignment="1">
      <alignment horizontal="left" vertical="center" wrapText="1" indent="1"/>
    </xf>
    <xf numFmtId="0" fontId="29" fillId="0" borderId="37" xfId="21" applyFont="1" applyBorder="1" applyAlignment="1">
      <alignment horizontal="left" vertical="center" wrapText="1" indent="7"/>
    </xf>
    <xf numFmtId="0" fontId="29" fillId="0" borderId="64" xfId="21" applyFont="1" applyBorder="1" applyAlignment="1">
      <alignment horizontal="left" vertical="center" wrapText="1" indent="1"/>
    </xf>
    <xf numFmtId="0" fontId="29" fillId="0" borderId="66" xfId="21" applyFont="1" applyBorder="1" applyAlignment="1">
      <alignment horizontal="left" vertical="center" wrapText="1" indent="1"/>
    </xf>
    <xf numFmtId="0" fontId="29" fillId="0" borderId="64" xfId="21" applyFont="1" applyBorder="1" applyAlignment="1">
      <alignment horizontal="left" vertical="center" wrapText="1" indent="6"/>
    </xf>
    <xf numFmtId="0" fontId="29" fillId="0" borderId="49" xfId="21" applyFont="1" applyBorder="1" applyAlignment="1">
      <alignment horizontal="left" vertical="center" wrapText="1" indent="6"/>
    </xf>
    <xf numFmtId="0" fontId="16" fillId="0" borderId="68" xfId="21" applyFont="1" applyBorder="1" applyAlignment="1">
      <alignment horizontal="center" vertical="center" wrapText="1"/>
    </xf>
    <xf numFmtId="14" fontId="20" fillId="0" borderId="0" xfId="0" applyNumberFormat="1" applyFont="1" applyAlignment="1">
      <alignment horizontal="left" vertical="center" wrapText="1"/>
    </xf>
    <xf numFmtId="0" fontId="29" fillId="0" borderId="49" xfId="21" applyFont="1" applyBorder="1" applyAlignment="1">
      <alignment horizontal="left" indent="6"/>
    </xf>
    <xf numFmtId="166" fontId="36" fillId="0" borderId="17" xfId="21" applyNumberFormat="1" applyFont="1" applyBorder="1" applyAlignment="1">
      <alignment horizontal="right" vertical="center" wrapText="1" indent="1"/>
    </xf>
    <xf numFmtId="166" fontId="36" fillId="0" borderId="22" xfId="21" applyNumberFormat="1" applyFont="1" applyBorder="1" applyAlignment="1">
      <alignment horizontal="right" vertical="center" wrapText="1" indent="1"/>
    </xf>
    <xf numFmtId="166" fontId="27" fillId="0" borderId="17" xfId="21" applyNumberFormat="1" applyFont="1" applyBorder="1" applyAlignment="1">
      <alignment horizontal="right" vertical="center" wrapText="1" indent="1"/>
    </xf>
    <xf numFmtId="166" fontId="27" fillId="0" borderId="18" xfId="21" applyNumberFormat="1" applyFont="1" applyBorder="1" applyAlignment="1">
      <alignment horizontal="right" vertical="center" wrapText="1" indent="1"/>
    </xf>
    <xf numFmtId="166" fontId="27" fillId="0" borderId="22" xfId="21" applyNumberFormat="1" applyFont="1" applyBorder="1" applyAlignment="1">
      <alignment horizontal="right" vertical="center" wrapText="1" indent="1"/>
    </xf>
    <xf numFmtId="166" fontId="27" fillId="0" borderId="20" xfId="21" applyNumberFormat="1" applyFont="1" applyBorder="1" applyAlignment="1">
      <alignment horizontal="right" vertical="center" wrapText="1" indent="1"/>
    </xf>
    <xf numFmtId="166" fontId="36" fillId="0" borderId="23" xfId="0" applyNumberFormat="1" applyFont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/>
    <xf numFmtId="0" fontId="50" fillId="0" borderId="0" xfId="20"/>
    <xf numFmtId="0" fontId="50" fillId="0" borderId="0" xfId="20" applyAlignment="1">
      <alignment vertical="center"/>
    </xf>
    <xf numFmtId="166" fontId="35" fillId="0" borderId="19" xfId="23" applyNumberFormat="1" applyFont="1" applyBorder="1"/>
    <xf numFmtId="0" fontId="20" fillId="0" borderId="0" xfId="23" applyProtection="1">
      <protection locked="0"/>
    </xf>
    <xf numFmtId="3" fontId="36" fillId="0" borderId="11" xfId="23" applyNumberFormat="1" applyFont="1" applyBorder="1" applyAlignment="1" applyProtection="1">
      <alignment vertical="center"/>
      <protection locked="0"/>
    </xf>
    <xf numFmtId="166" fontId="36" fillId="0" borderId="40" xfId="21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vertical="center" wrapText="1"/>
    </xf>
    <xf numFmtId="166" fontId="77" fillId="0" borderId="13" xfId="0" applyNumberFormat="1" applyFont="1" applyBorder="1" applyAlignment="1">
      <alignment horizontal="center" vertical="center" wrapText="1"/>
    </xf>
    <xf numFmtId="166" fontId="77" fillId="0" borderId="14" xfId="0" applyNumberFormat="1" applyFont="1" applyBorder="1" applyAlignment="1">
      <alignment horizontal="center" vertical="center" wrapText="1"/>
    </xf>
    <xf numFmtId="166" fontId="77" fillId="0" borderId="19" xfId="0" applyNumberFormat="1" applyFont="1" applyBorder="1" applyAlignment="1">
      <alignment horizontal="center" vertical="center" wrapText="1"/>
    </xf>
    <xf numFmtId="166" fontId="61" fillId="0" borderId="0" xfId="0" applyNumberFormat="1" applyFont="1" applyAlignment="1">
      <alignment horizontal="center" vertical="center" wrapText="1"/>
    </xf>
    <xf numFmtId="166" fontId="73" fillId="0" borderId="13" xfId="0" applyNumberFormat="1" applyFont="1" applyBorder="1" applyAlignment="1">
      <alignment horizontal="center" vertical="center" wrapText="1"/>
    </xf>
    <xf numFmtId="166" fontId="73" fillId="0" borderId="14" xfId="0" applyNumberFormat="1" applyFont="1" applyBorder="1" applyAlignment="1">
      <alignment horizontal="center" vertical="center" wrapText="1"/>
    </xf>
    <xf numFmtId="166" fontId="73" fillId="0" borderId="19" xfId="0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horizontal="center" vertical="center" wrapText="1"/>
    </xf>
    <xf numFmtId="0" fontId="84" fillId="0" borderId="0" xfId="0" applyFont="1"/>
    <xf numFmtId="0" fontId="36" fillId="0" borderId="15" xfId="21" applyFont="1" applyBorder="1" applyAlignment="1">
      <alignment horizontal="center" vertical="center"/>
    </xf>
    <xf numFmtId="0" fontId="36" fillId="0" borderId="16" xfId="21" applyFont="1" applyBorder="1" applyAlignment="1">
      <alignment horizontal="center" vertical="center"/>
    </xf>
    <xf numFmtId="0" fontId="36" fillId="0" borderId="28" xfId="21" applyFont="1" applyBorder="1" applyAlignment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Border="1" applyAlignment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166" fontId="14" fillId="0" borderId="0" xfId="0" applyNumberFormat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3" fillId="0" borderId="55" xfId="0" applyFont="1" applyBorder="1" applyAlignment="1">
      <alignment horizontal="left" vertical="center" wrapText="1" indent="1"/>
    </xf>
    <xf numFmtId="166" fontId="36" fillId="0" borderId="55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Border="1" applyAlignment="1" applyProtection="1">
      <alignment horizontal="right" vertical="center" wrapText="1" indent="1"/>
      <protection locked="0"/>
    </xf>
    <xf numFmtId="0" fontId="36" fillId="0" borderId="8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 indent="1"/>
    </xf>
    <xf numFmtId="166" fontId="36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Border="1" applyAlignment="1" applyProtection="1">
      <alignment horizontal="right" vertical="center" wrapText="1" indent="1"/>
      <protection locked="0"/>
    </xf>
    <xf numFmtId="0" fontId="33" fillId="0" borderId="5" xfId="0" applyFont="1" applyBorder="1" applyAlignment="1">
      <alignment horizontal="left" vertical="center" wrapText="1" indent="8"/>
    </xf>
    <xf numFmtId="166" fontId="36" fillId="0" borderId="18" xfId="0" quotePrefix="1" applyNumberFormat="1" applyFont="1" applyBorder="1" applyAlignment="1" applyProtection="1">
      <alignment horizontal="right" vertical="center" wrapText="1" indent="1"/>
      <protection locked="0"/>
    </xf>
    <xf numFmtId="0" fontId="36" fillId="0" borderId="3" xfId="0" applyFont="1" applyBorder="1" applyAlignment="1" applyProtection="1">
      <alignment vertical="center" wrapText="1"/>
      <protection locked="0"/>
    </xf>
    <xf numFmtId="0" fontId="36" fillId="0" borderId="2" xfId="0" applyFont="1" applyBorder="1" applyAlignment="1" applyProtection="1">
      <alignment vertical="center" wrapText="1"/>
      <protection locked="0"/>
    </xf>
    <xf numFmtId="0" fontId="36" fillId="0" borderId="10" xfId="0" applyFont="1" applyBorder="1" applyAlignment="1">
      <alignment horizontal="center" vertical="center" wrapText="1"/>
    </xf>
    <xf numFmtId="0" fontId="36" fillId="0" borderId="21" xfId="0" applyFont="1" applyBorder="1" applyAlignment="1" applyProtection="1">
      <alignment vertical="center" wrapText="1"/>
      <protection locked="0"/>
    </xf>
    <xf numFmtId="166" fontId="36" fillId="0" borderId="21" xfId="0" applyNumberFormat="1" applyFont="1" applyBorder="1" applyAlignment="1" applyProtection="1">
      <alignment horizontal="right" vertical="center" wrapText="1" indent="1"/>
      <protection locked="0"/>
    </xf>
    <xf numFmtId="0" fontId="37" fillId="0" borderId="25" xfId="0" applyFont="1" applyBorder="1" applyAlignment="1">
      <alignment vertical="center" wrapText="1"/>
    </xf>
    <xf numFmtId="166" fontId="35" fillId="0" borderId="25" xfId="0" applyNumberFormat="1" applyFont="1" applyBorder="1" applyAlignment="1">
      <alignment vertical="center" wrapText="1"/>
    </xf>
    <xf numFmtId="166" fontId="35" fillId="0" borderId="26" xfId="0" applyNumberFormat="1" applyFont="1" applyBorder="1" applyAlignment="1">
      <alignment vertical="center" wrapText="1"/>
    </xf>
    <xf numFmtId="0" fontId="16" fillId="0" borderId="27" xfId="21" applyFont="1" applyBorder="1" applyAlignment="1">
      <alignment horizontal="center" vertical="center" wrapText="1"/>
    </xf>
    <xf numFmtId="0" fontId="27" fillId="0" borderId="27" xfId="21" applyFont="1" applyBorder="1" applyAlignment="1">
      <alignment horizontal="center" vertical="center" wrapText="1"/>
    </xf>
    <xf numFmtId="166" fontId="27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Border="1" applyAlignment="1">
      <alignment horizontal="right" vertical="center" wrapText="1" indent="1"/>
    </xf>
    <xf numFmtId="166" fontId="29" fillId="0" borderId="41" xfId="21" applyNumberFormat="1" applyFont="1" applyBorder="1" applyAlignment="1">
      <alignment horizontal="right" vertical="center" wrapText="1" indent="1"/>
    </xf>
    <xf numFmtId="166" fontId="29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Border="1" applyAlignment="1">
      <alignment horizontal="right" vertical="center" wrapText="1" indent="1"/>
    </xf>
    <xf numFmtId="0" fontId="29" fillId="0" borderId="51" xfId="21" applyFont="1" applyBorder="1" applyAlignment="1">
      <alignment horizontal="right" vertical="center" wrapText="1" indent="1"/>
    </xf>
    <xf numFmtId="166" fontId="36" fillId="0" borderId="51" xfId="21" applyNumberFormat="1" applyFont="1" applyBorder="1" applyAlignment="1">
      <alignment horizontal="right" vertical="center" wrapText="1" indent="1"/>
    </xf>
    <xf numFmtId="0" fontId="16" fillId="0" borderId="44" xfId="21" applyFont="1" applyBorder="1" applyAlignment="1">
      <alignment horizontal="center" vertical="center" wrapText="1"/>
    </xf>
    <xf numFmtId="0" fontId="27" fillId="0" borderId="52" xfId="21" applyFont="1" applyBorder="1" applyAlignment="1">
      <alignment horizontal="center" vertical="center" wrapText="1"/>
    </xf>
    <xf numFmtId="166" fontId="27" fillId="0" borderId="14" xfId="21" applyNumberFormat="1" applyFont="1" applyBorder="1" applyAlignment="1" applyProtection="1">
      <alignment horizontal="right" vertical="center" wrapText="1" indent="1"/>
      <protection locked="0"/>
    </xf>
    <xf numFmtId="0" fontId="35" fillId="0" borderId="25" xfId="21" applyFont="1" applyBorder="1" applyAlignment="1">
      <alignment vertical="center" wrapText="1"/>
    </xf>
    <xf numFmtId="166" fontId="35" fillId="0" borderId="25" xfId="21" applyNumberFormat="1" applyFont="1" applyBorder="1" applyAlignment="1">
      <alignment horizontal="right" vertical="center" wrapText="1" indent="1"/>
    </xf>
    <xf numFmtId="166" fontId="29" fillId="0" borderId="3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Border="1" applyAlignment="1">
      <alignment horizontal="right" vertical="center" wrapText="1" indent="1"/>
    </xf>
    <xf numFmtId="166" fontId="32" fillId="0" borderId="14" xfId="0" quotePrefix="1" applyNumberFormat="1" applyFont="1" applyBorder="1" applyAlignment="1">
      <alignment horizontal="right" vertical="center" wrapText="1" indent="1"/>
    </xf>
    <xf numFmtId="3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horizontal="center" vertical="center" wrapText="1"/>
    </xf>
    <xf numFmtId="3" fontId="40" fillId="0" borderId="0" xfId="0" applyNumberFormat="1" applyFont="1" applyAlignment="1">
      <alignment vertical="center" wrapText="1"/>
    </xf>
    <xf numFmtId="166" fontId="36" fillId="0" borderId="3" xfId="0" applyNumberFormat="1" applyFont="1" applyBorder="1" applyAlignment="1" applyProtection="1">
      <alignment horizontal="right" vertical="center" wrapText="1" indent="1"/>
      <protection locked="0"/>
    </xf>
    <xf numFmtId="3" fontId="55" fillId="0" borderId="49" xfId="0" applyNumberFormat="1" applyFont="1" applyBorder="1" applyAlignment="1">
      <alignment vertical="center" wrapText="1"/>
    </xf>
    <xf numFmtId="166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7" fillId="0" borderId="13" xfId="0" applyNumberFormat="1" applyFont="1" applyBorder="1" applyAlignment="1">
      <alignment horizontal="centerContinuous" vertical="center" wrapText="1"/>
    </xf>
    <xf numFmtId="166" fontId="37" fillId="0" borderId="14" xfId="0" applyNumberFormat="1" applyFont="1" applyBorder="1" applyAlignment="1">
      <alignment horizontal="centerContinuous" vertical="center" wrapText="1"/>
    </xf>
    <xf numFmtId="166" fontId="37" fillId="0" borderId="19" xfId="0" applyNumberFormat="1" applyFont="1" applyBorder="1" applyAlignment="1">
      <alignment horizontal="centerContinuous" vertical="center" wrapText="1"/>
    </xf>
    <xf numFmtId="166" fontId="37" fillId="0" borderId="13" xfId="0" applyNumberFormat="1" applyFont="1" applyBorder="1" applyAlignment="1">
      <alignment horizontal="center" vertical="center" wrapText="1"/>
    </xf>
    <xf numFmtId="0" fontId="37" fillId="0" borderId="19" xfId="21" applyFont="1" applyBorder="1" applyAlignment="1">
      <alignment horizontal="center" vertical="center" wrapText="1"/>
    </xf>
    <xf numFmtId="166" fontId="37" fillId="0" borderId="19" xfId="0" applyNumberFormat="1" applyFont="1" applyBorder="1" applyAlignment="1">
      <alignment horizontal="center" vertical="center" wrapText="1"/>
    </xf>
    <xf numFmtId="166" fontId="36" fillId="0" borderId="43" xfId="0" applyNumberFormat="1" applyFont="1" applyBorder="1" applyAlignment="1">
      <alignment horizontal="left" vertical="center" wrapText="1" indent="1"/>
    </xf>
    <xf numFmtId="166" fontId="36" fillId="0" borderId="10" xfId="0" applyNumberFormat="1" applyFont="1" applyBorder="1" applyAlignment="1" applyProtection="1">
      <alignment horizontal="left" vertical="center" wrapText="1" indent="1"/>
      <protection locked="0"/>
    </xf>
    <xf numFmtId="166" fontId="36" fillId="0" borderId="7" xfId="0" applyNumberFormat="1" applyFont="1" applyBorder="1" applyAlignment="1" applyProtection="1">
      <alignment horizontal="left" vertical="center" wrapText="1" indent="1"/>
      <protection locked="0"/>
    </xf>
    <xf numFmtId="0" fontId="27" fillId="0" borderId="11" xfId="21" applyFont="1" applyBorder="1" applyAlignment="1">
      <alignment horizontal="center" vertical="center" wrapText="1"/>
    </xf>
    <xf numFmtId="0" fontId="27" fillId="0" borderId="4" xfId="21" applyFont="1" applyBorder="1" applyAlignment="1">
      <alignment horizontal="center" vertical="center" wrapText="1"/>
    </xf>
    <xf numFmtId="0" fontId="27" fillId="0" borderId="17" xfId="21" applyFont="1" applyBorder="1" applyAlignment="1">
      <alignment horizontal="center" vertical="center" wrapText="1"/>
    </xf>
    <xf numFmtId="0" fontId="29" fillId="0" borderId="13" xfId="21" applyFont="1" applyBorder="1" applyAlignment="1">
      <alignment horizontal="center" vertical="center"/>
    </xf>
    <xf numFmtId="0" fontId="29" fillId="0" borderId="14" xfId="21" applyFont="1" applyBorder="1" applyAlignment="1">
      <alignment horizontal="center" vertical="center"/>
    </xf>
    <xf numFmtId="0" fontId="29" fillId="0" borderId="19" xfId="21" applyFont="1" applyBorder="1" applyAlignment="1">
      <alignment horizontal="center" vertical="center"/>
    </xf>
    <xf numFmtId="0" fontId="29" fillId="0" borderId="2" xfId="21" applyFont="1" applyBorder="1" applyAlignment="1" applyProtection="1">
      <alignment horizontal="left"/>
      <protection locked="0"/>
    </xf>
    <xf numFmtId="0" fontId="29" fillId="0" borderId="3" xfId="21" applyFont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Border="1" applyProtection="1">
      <protection locked="0"/>
    </xf>
    <xf numFmtId="0" fontId="29" fillId="0" borderId="6" xfId="21" applyFont="1" applyBorder="1" applyProtection="1">
      <protection locked="0"/>
    </xf>
    <xf numFmtId="0" fontId="13" fillId="0" borderId="0" xfId="21" applyFont="1"/>
    <xf numFmtId="0" fontId="27" fillId="0" borderId="13" xfId="21" applyFont="1" applyBorder="1" applyAlignment="1">
      <alignment horizontal="center" vertical="center"/>
    </xf>
    <xf numFmtId="0" fontId="27" fillId="0" borderId="14" xfId="21" applyFont="1" applyBorder="1" applyAlignment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62" xfId="21" applyNumberFormat="1" applyFont="1" applyBorder="1" applyAlignment="1">
      <alignment horizontal="right" vertical="center" wrapText="1" indent="1"/>
    </xf>
    <xf numFmtId="3" fontId="27" fillId="0" borderId="28" xfId="21" applyNumberFormat="1" applyFont="1" applyBorder="1" applyAlignment="1">
      <alignment horizontal="right" vertical="center" wrapText="1" indent="1"/>
    </xf>
    <xf numFmtId="3" fontId="27" fillId="0" borderId="19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>
      <alignment horizontal="right" vertical="center" wrapText="1" indent="1"/>
    </xf>
    <xf numFmtId="3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Border="1" applyAlignment="1">
      <alignment horizontal="right" vertical="center" wrapText="1" indent="1"/>
    </xf>
    <xf numFmtId="3" fontId="35" fillId="0" borderId="19" xfId="21" applyNumberFormat="1" applyFont="1" applyBorder="1" applyAlignment="1">
      <alignment horizontal="right" vertical="center" wrapText="1" indent="1"/>
    </xf>
    <xf numFmtId="3" fontId="29" fillId="0" borderId="50" xfId="21" applyNumberFormat="1" applyFont="1" applyBorder="1" applyAlignment="1">
      <alignment horizontal="right" vertical="center" wrapText="1" indent="1"/>
    </xf>
    <xf numFmtId="3" fontId="29" fillId="0" borderId="20" xfId="21" applyNumberFormat="1" applyFont="1" applyBorder="1" applyAlignment="1">
      <alignment horizontal="right" vertical="center" wrapText="1" indent="1"/>
    </xf>
    <xf numFmtId="3" fontId="27" fillId="0" borderId="27" xfId="21" applyNumberFormat="1" applyFont="1" applyBorder="1" applyAlignment="1">
      <alignment horizontal="right" vertical="center" wrapText="1" indent="1"/>
    </xf>
    <xf numFmtId="3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Border="1" applyAlignment="1">
      <alignment horizontal="right" vertical="center" wrapText="1" indent="1"/>
    </xf>
    <xf numFmtId="3" fontId="29" fillId="0" borderId="27" xfId="21" applyNumberFormat="1" applyFont="1" applyBorder="1" applyAlignment="1">
      <alignment horizontal="right" vertical="center" wrapText="1" indent="1"/>
    </xf>
    <xf numFmtId="0" fontId="33" fillId="0" borderId="49" xfId="0" quotePrefix="1" applyFont="1" applyBorder="1" applyAlignment="1">
      <alignment horizontal="left" wrapText="1" indent="1"/>
    </xf>
    <xf numFmtId="166" fontId="69" fillId="0" borderId="19" xfId="0" applyNumberFormat="1" applyFont="1" applyBorder="1" applyAlignment="1">
      <alignment horizontal="right" vertical="center" wrapText="1" indent="1"/>
    </xf>
    <xf numFmtId="166" fontId="71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>
      <alignment horizontal="right" vertical="center" wrapText="1" indent="1"/>
    </xf>
    <xf numFmtId="166" fontId="73" fillId="0" borderId="44" xfId="0" applyNumberFormat="1" applyFont="1" applyBorder="1" applyAlignment="1">
      <alignment horizontal="right" vertical="center" wrapText="1" indent="1"/>
    </xf>
    <xf numFmtId="166" fontId="73" fillId="0" borderId="0" xfId="0" applyNumberFormat="1" applyFont="1" applyAlignment="1">
      <alignment horizontal="right" vertical="center" wrapText="1" indent="1"/>
    </xf>
    <xf numFmtId="0" fontId="71" fillId="0" borderId="0" xfId="0" applyFont="1" applyAlignment="1">
      <alignment horizontal="right" vertical="center" wrapText="1" indent="1"/>
    </xf>
    <xf numFmtId="166" fontId="73" fillId="0" borderId="19" xfId="0" applyNumberFormat="1" applyFont="1" applyBorder="1" applyAlignment="1">
      <alignment horizontal="right" vertical="center" wrapText="1" indent="1"/>
    </xf>
    <xf numFmtId="0" fontId="70" fillId="0" borderId="0" xfId="0" applyFont="1" applyAlignment="1">
      <alignment horizontal="right" vertical="center" wrapText="1" indent="1"/>
    </xf>
    <xf numFmtId="4" fontId="7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34" xfId="25" applyFont="1" applyBorder="1"/>
    <xf numFmtId="166" fontId="36" fillId="0" borderId="8" xfId="0" applyNumberFormat="1" applyFont="1" applyBorder="1" applyAlignment="1">
      <alignment horizontal="left" vertical="center" wrapText="1" indent="3"/>
    </xf>
    <xf numFmtId="0" fontId="36" fillId="0" borderId="10" xfId="21" applyFont="1" applyBorder="1" applyAlignment="1">
      <alignment horizontal="center" vertical="center"/>
    </xf>
    <xf numFmtId="169" fontId="70" fillId="0" borderId="26" xfId="0" applyNumberFormat="1" applyFont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Alignment="1">
      <alignment vertical="center" wrapText="1"/>
    </xf>
    <xf numFmtId="0" fontId="10" fillId="0" borderId="0" xfId="21" applyFont="1"/>
    <xf numFmtId="0" fontId="38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38" fillId="0" borderId="14" xfId="0" applyFont="1" applyBorder="1" applyAlignment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/>
    <xf numFmtId="166" fontId="35" fillId="0" borderId="0" xfId="21" applyNumberFormat="1" applyFont="1" applyAlignment="1" applyProtection="1">
      <alignment horizontal="right" vertical="center" wrapText="1" indent="1"/>
      <protection locked="0"/>
    </xf>
    <xf numFmtId="166" fontId="37" fillId="0" borderId="19" xfId="0" applyNumberFormat="1" applyFont="1" applyBorder="1" applyAlignment="1">
      <alignment vertical="center" wrapText="1"/>
    </xf>
    <xf numFmtId="166" fontId="67" fillId="0" borderId="0" xfId="0" applyNumberFormat="1" applyFont="1" applyAlignment="1">
      <alignment vertical="center" wrapText="1"/>
    </xf>
    <xf numFmtId="166" fontId="72" fillId="0" borderId="0" xfId="0" applyNumberFormat="1" applyFont="1" applyAlignment="1">
      <alignment vertical="center" wrapText="1"/>
    </xf>
    <xf numFmtId="166" fontId="75" fillId="0" borderId="0" xfId="0" applyNumberFormat="1" applyFont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Border="1"/>
    <xf numFmtId="0" fontId="89" fillId="0" borderId="0" xfId="25" applyFont="1" applyAlignment="1">
      <alignment vertical="center"/>
    </xf>
    <xf numFmtId="166" fontId="100" fillId="0" borderId="0" xfId="0" applyNumberFormat="1" applyFont="1" applyAlignment="1">
      <alignment vertical="center" wrapText="1"/>
    </xf>
    <xf numFmtId="166" fontId="97" fillId="0" borderId="0" xfId="0" applyNumberFormat="1" applyFont="1" applyAlignment="1">
      <alignment vertical="center" wrapText="1"/>
    </xf>
    <xf numFmtId="166" fontId="81" fillId="0" borderId="34" xfId="0" applyNumberFormat="1" applyFont="1" applyBorder="1" applyAlignment="1">
      <alignment horizontal="left" vertical="center" wrapText="1"/>
    </xf>
    <xf numFmtId="166" fontId="37" fillId="0" borderId="15" xfId="0" applyNumberFormat="1" applyFont="1" applyBorder="1" applyAlignment="1">
      <alignment horizontal="center" vertical="center" wrapText="1"/>
    </xf>
    <xf numFmtId="166" fontId="37" fillId="0" borderId="16" xfId="0" applyNumberFormat="1" applyFont="1" applyBorder="1" applyAlignment="1">
      <alignment horizontal="center" vertical="center" wrapText="1"/>
    </xf>
    <xf numFmtId="166" fontId="37" fillId="0" borderId="28" xfId="0" applyNumberFormat="1" applyFont="1" applyBorder="1" applyAlignment="1">
      <alignment horizontal="center" vertical="center" wrapText="1"/>
    </xf>
    <xf numFmtId="166" fontId="35" fillId="0" borderId="11" xfId="0" applyNumberFormat="1" applyFont="1" applyBorder="1" applyAlignment="1">
      <alignment horizontal="center" vertical="center" wrapText="1"/>
    </xf>
    <xf numFmtId="166" fontId="35" fillId="0" borderId="4" xfId="0" applyNumberFormat="1" applyFont="1" applyBorder="1" applyAlignment="1">
      <alignment horizontal="center" vertical="center" wrapText="1"/>
    </xf>
    <xf numFmtId="166" fontId="35" fillId="0" borderId="17" xfId="0" applyNumberFormat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101" fillId="0" borderId="0" xfId="0" applyFont="1"/>
    <xf numFmtId="0" fontId="0" fillId="0" borderId="0" xfId="0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41" fillId="0" borderId="0" xfId="0" applyFont="1"/>
    <xf numFmtId="0" fontId="103" fillId="0" borderId="0" xfId="0" applyFont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/>
    <xf numFmtId="3" fontId="43" fillId="0" borderId="0" xfId="0" applyNumberFormat="1" applyFont="1" applyAlignment="1">
      <alignment horizontal="right" indent="1"/>
    </xf>
    <xf numFmtId="0" fontId="43" fillId="0" borderId="0" xfId="0" applyFont="1" applyAlignment="1">
      <alignment horizontal="right" indent="1"/>
    </xf>
    <xf numFmtId="0" fontId="31" fillId="0" borderId="0" xfId="0" applyFont="1"/>
    <xf numFmtId="3" fontId="37" fillId="0" borderId="0" xfId="0" applyNumberFormat="1" applyFont="1" applyAlignment="1">
      <alignment horizontal="right" indent="1"/>
    </xf>
    <xf numFmtId="0" fontId="105" fillId="0" borderId="0" xfId="0" applyFont="1"/>
    <xf numFmtId="49" fontId="0" fillId="0" borderId="21" xfId="0" applyNumberFormat="1" applyBorder="1" applyAlignment="1" applyProtection="1">
      <alignment horizontal="center" vertical="center" wrapText="1"/>
      <protection locked="0"/>
    </xf>
    <xf numFmtId="0" fontId="20" fillId="0" borderId="0" xfId="21" applyAlignment="1">
      <alignment horizontal="right"/>
    </xf>
    <xf numFmtId="166" fontId="13" fillId="0" borderId="0" xfId="21" applyNumberFormat="1" applyFont="1" applyAlignment="1">
      <alignment horizontal="centerContinuous" vertical="center"/>
    </xf>
    <xf numFmtId="166" fontId="12" fillId="0" borderId="0" xfId="21" applyNumberFormat="1" applyFont="1" applyAlignment="1">
      <alignment horizontal="centerContinuous" vertical="center"/>
    </xf>
    <xf numFmtId="14" fontId="38" fillId="0" borderId="4" xfId="21" applyNumberFormat="1" applyFont="1" applyBorder="1" applyAlignment="1">
      <alignment horizontal="center" vertical="center" wrapText="1"/>
    </xf>
    <xf numFmtId="0" fontId="23" fillId="0" borderId="27" xfId="21" applyFont="1" applyBorder="1" applyAlignment="1">
      <alignment horizontal="center" vertical="center"/>
    </xf>
    <xf numFmtId="0" fontId="23" fillId="0" borderId="33" xfId="21" applyFont="1" applyBorder="1" applyAlignment="1">
      <alignment horizontal="center" vertical="center"/>
    </xf>
    <xf numFmtId="0" fontId="23" fillId="0" borderId="14" xfId="21" applyFont="1" applyBorder="1" applyAlignment="1">
      <alignment horizontal="center" vertical="center"/>
    </xf>
    <xf numFmtId="0" fontId="23" fillId="0" borderId="19" xfId="21" applyFont="1" applyBorder="1" applyAlignment="1">
      <alignment horizontal="center" vertical="center"/>
    </xf>
    <xf numFmtId="0" fontId="23" fillId="0" borderId="41" xfId="21" applyFont="1" applyBorder="1" applyAlignment="1">
      <alignment horizontal="center" vertical="center"/>
    </xf>
    <xf numFmtId="0" fontId="23" fillId="0" borderId="5" xfId="21" applyFont="1" applyBorder="1" applyAlignment="1" applyProtection="1">
      <alignment wrapText="1"/>
      <protection locked="0"/>
    </xf>
    <xf numFmtId="0" fontId="29" fillId="0" borderId="0" xfId="21" applyFont="1" applyAlignment="1">
      <alignment wrapText="1"/>
    </xf>
    <xf numFmtId="0" fontId="85" fillId="0" borderId="0" xfId="21" applyFont="1"/>
    <xf numFmtId="16" fontId="85" fillId="0" borderId="0" xfId="21" applyNumberFormat="1" applyFont="1"/>
    <xf numFmtId="0" fontId="23" fillId="0" borderId="8" xfId="21" applyFont="1" applyBorder="1" applyAlignment="1" applyProtection="1">
      <alignment wrapText="1"/>
      <protection locked="0"/>
    </xf>
    <xf numFmtId="0" fontId="23" fillId="0" borderId="67" xfId="21" applyFont="1" applyBorder="1" applyAlignment="1" applyProtection="1">
      <alignment wrapText="1"/>
      <protection locked="0"/>
    </xf>
    <xf numFmtId="0" fontId="23" fillId="0" borderId="2" xfId="21" applyFont="1" applyBorder="1" applyAlignment="1" applyProtection="1">
      <alignment wrapText="1"/>
      <protection locked="0"/>
    </xf>
    <xf numFmtId="0" fontId="38" fillId="0" borderId="33" xfId="21" applyFont="1" applyBorder="1"/>
    <xf numFmtId="3" fontId="38" fillId="0" borderId="14" xfId="21" applyNumberFormat="1" applyFont="1" applyBorder="1" applyAlignment="1">
      <alignment horizontal="right"/>
    </xf>
    <xf numFmtId="14" fontId="10" fillId="0" borderId="0" xfId="21" applyNumberFormat="1" applyFont="1" applyAlignment="1">
      <alignment horizontal="left"/>
    </xf>
    <xf numFmtId="3" fontId="38" fillId="0" borderId="19" xfId="21" applyNumberFormat="1" applyFont="1" applyBorder="1" applyAlignment="1">
      <alignment horizontal="right"/>
    </xf>
    <xf numFmtId="166" fontId="0" fillId="0" borderId="2" xfId="0" applyNumberFormat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Border="1" applyAlignment="1">
      <alignment horizontal="right" vertical="center" wrapText="1"/>
    </xf>
    <xf numFmtId="166" fontId="0" fillId="0" borderId="20" xfId="0" applyNumberFormat="1" applyBorder="1" applyAlignment="1">
      <alignment vertical="center" wrapText="1"/>
    </xf>
    <xf numFmtId="166" fontId="0" fillId="0" borderId="23" xfId="0" applyNumberFormat="1" applyBorder="1" applyAlignment="1">
      <alignment vertical="center" wrapText="1"/>
    </xf>
    <xf numFmtId="166" fontId="0" fillId="0" borderId="39" xfId="28" applyNumberFormat="1" applyFont="1" applyBorder="1" applyAlignment="1" applyProtection="1">
      <alignment horizontal="right" vertical="center" wrapText="1"/>
      <protection locked="0"/>
    </xf>
    <xf numFmtId="166" fontId="0" fillId="0" borderId="21" xfId="0" applyNumberFormat="1" applyBorder="1" applyAlignment="1" applyProtection="1">
      <alignment horizontal="right" vertical="center" wrapText="1"/>
      <protection locked="0"/>
    </xf>
    <xf numFmtId="166" fontId="0" fillId="0" borderId="22" xfId="0" applyNumberFormat="1" applyBorder="1" applyAlignment="1">
      <alignment vertical="center" wrapText="1"/>
    </xf>
    <xf numFmtId="166" fontId="88" fillId="0" borderId="33" xfId="0" applyNumberFormat="1" applyFont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3" fontId="29" fillId="0" borderId="0" xfId="0" applyNumberFormat="1" applyFont="1" applyAlignment="1">
      <alignment vertical="center" wrapText="1"/>
    </xf>
    <xf numFmtId="3" fontId="29" fillId="0" borderId="0" xfId="0" applyNumberFormat="1" applyFont="1" applyAlignment="1">
      <alignment horizontal="right" vertical="center" wrapText="1"/>
    </xf>
    <xf numFmtId="3" fontId="36" fillId="0" borderId="0" xfId="23" applyNumberFormat="1" applyFont="1" applyProtection="1">
      <protection locked="0"/>
    </xf>
    <xf numFmtId="0" fontId="12" fillId="0" borderId="0" xfId="0" applyFont="1" applyAlignment="1">
      <alignment horizontal="center" vertical="center" wrapText="1"/>
    </xf>
    <xf numFmtId="3" fontId="20" fillId="0" borderId="0" xfId="21" applyNumberFormat="1" applyAlignment="1">
      <alignment horizontal="right" indent="1"/>
    </xf>
    <xf numFmtId="3" fontId="36" fillId="0" borderId="0" xfId="0" applyNumberFormat="1" applyFont="1" applyAlignment="1">
      <alignment vertical="center" wrapText="1"/>
    </xf>
    <xf numFmtId="0" fontId="36" fillId="0" borderId="5" xfId="21" applyFont="1" applyBorder="1" applyAlignment="1" applyProtection="1">
      <alignment wrapText="1"/>
      <protection locked="0"/>
    </xf>
    <xf numFmtId="3" fontId="36" fillId="0" borderId="2" xfId="21" applyNumberFormat="1" applyFont="1" applyBorder="1" applyAlignment="1" applyProtection="1">
      <alignment horizontal="center" vertical="center"/>
      <protection locked="0"/>
    </xf>
    <xf numFmtId="2" fontId="33" fillId="0" borderId="23" xfId="25" applyNumberFormat="1" applyFont="1" applyBorder="1"/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50" fillId="0" borderId="0" xfId="19"/>
    <xf numFmtId="166" fontId="35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166" fontId="66" fillId="0" borderId="18" xfId="21" applyNumberFormat="1" applyFont="1" applyBorder="1" applyAlignment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166" fontId="36" fillId="0" borderId="23" xfId="21" applyNumberFormat="1" applyFont="1" applyBorder="1" applyAlignment="1">
      <alignment horizontal="right" vertical="center" wrapText="1" indent="1"/>
    </xf>
    <xf numFmtId="166" fontId="36" fillId="0" borderId="19" xfId="0" applyNumberFormat="1" applyFont="1" applyBorder="1" applyAlignment="1">
      <alignment horizontal="right" vertical="center" wrapText="1" indent="1"/>
    </xf>
    <xf numFmtId="166" fontId="36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>
      <alignment horizontal="right" vertical="center" wrapText="1" indent="1"/>
    </xf>
    <xf numFmtId="166" fontId="6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42" fillId="0" borderId="24" xfId="21" applyNumberFormat="1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23" applyAlignment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Border="1" applyAlignment="1">
      <alignment horizontal="center" vertical="center" wrapText="1"/>
    </xf>
    <xf numFmtId="0" fontId="19" fillId="0" borderId="0" xfId="48" applyFont="1"/>
    <xf numFmtId="3" fontId="69" fillId="0" borderId="2" xfId="25" applyNumberFormat="1" applyFont="1" applyBorder="1" applyAlignment="1">
      <alignment horizontal="right"/>
    </xf>
    <xf numFmtId="0" fontId="16" fillId="0" borderId="37" xfId="50" applyFont="1" applyBorder="1" applyAlignment="1">
      <alignment horizontal="center" vertical="center"/>
    </xf>
    <xf numFmtId="0" fontId="16" fillId="0" borderId="22" xfId="50" applyFont="1" applyBorder="1" applyAlignment="1">
      <alignment horizontal="center" vertical="center" wrapText="1"/>
    </xf>
    <xf numFmtId="166" fontId="27" fillId="0" borderId="63" xfId="50" applyNumberFormat="1" applyFont="1" applyBorder="1" applyAlignment="1">
      <alignment horizontal="center" vertical="center" wrapText="1"/>
    </xf>
    <xf numFmtId="0" fontId="27" fillId="0" borderId="61" xfId="50" applyFont="1" applyBorder="1" applyAlignment="1">
      <alignment horizontal="center" vertical="center" wrapText="1"/>
    </xf>
    <xf numFmtId="0" fontId="27" fillId="0" borderId="62" xfId="50" applyFont="1" applyBorder="1" applyAlignment="1">
      <alignment horizontal="center" vertical="center" wrapText="1"/>
    </xf>
    <xf numFmtId="166" fontId="27" fillId="0" borderId="61" xfId="50" applyNumberFormat="1" applyFont="1" applyBorder="1" applyAlignment="1">
      <alignment horizontal="center" vertical="center" wrapText="1"/>
    </xf>
    <xf numFmtId="166" fontId="27" fillId="0" borderId="62" xfId="50" applyNumberFormat="1" applyFont="1" applyBorder="1" applyAlignment="1">
      <alignment horizontal="center" vertical="center" wrapText="1"/>
    </xf>
    <xf numFmtId="166" fontId="27" fillId="0" borderId="28" xfId="50" applyNumberFormat="1" applyFont="1" applyBorder="1" applyAlignment="1">
      <alignment horizontal="center" vertical="center" wrapText="1"/>
    </xf>
    <xf numFmtId="166" fontId="27" fillId="0" borderId="38" xfId="50" applyNumberFormat="1" applyFont="1" applyBorder="1" applyAlignment="1">
      <alignment horizontal="center" vertical="center" wrapText="1"/>
    </xf>
    <xf numFmtId="166" fontId="27" fillId="0" borderId="58" xfId="50" applyNumberFormat="1" applyFont="1" applyBorder="1" applyAlignment="1">
      <alignment horizontal="center" vertical="center" wrapText="1"/>
    </xf>
    <xf numFmtId="0" fontId="27" fillId="0" borderId="55" xfId="50" applyFont="1" applyBorder="1" applyAlignment="1">
      <alignment vertical="center" wrapText="1"/>
    </xf>
    <xf numFmtId="3" fontId="29" fillId="0" borderId="4" xfId="50" applyNumberFormat="1" applyFont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Border="1" applyAlignment="1">
      <alignment horizontal="center" vertical="center" wrapText="1"/>
    </xf>
    <xf numFmtId="166" fontId="27" fillId="0" borderId="74" xfId="50" applyNumberFormat="1" applyFont="1" applyBorder="1" applyAlignment="1">
      <alignment horizontal="center" vertical="center" wrapText="1"/>
    </xf>
    <xf numFmtId="0" fontId="36" fillId="0" borderId="54" xfId="50" applyFont="1" applyBorder="1" applyAlignment="1">
      <alignment vertical="center" wrapText="1"/>
    </xf>
    <xf numFmtId="0" fontId="29" fillId="0" borderId="21" xfId="50" applyFont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Border="1" applyAlignment="1">
      <alignment horizontal="center" vertical="center" wrapText="1"/>
    </xf>
    <xf numFmtId="0" fontId="27" fillId="0" borderId="33" xfId="50" applyFont="1" applyBorder="1" applyAlignment="1">
      <alignment vertical="center" wrapText="1"/>
    </xf>
    <xf numFmtId="0" fontId="23" fillId="0" borderId="14" xfId="50" applyFont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Border="1" applyAlignment="1">
      <alignment horizontal="center" vertical="center" wrapText="1"/>
    </xf>
    <xf numFmtId="166" fontId="27" fillId="0" borderId="42" xfId="50" applyNumberFormat="1" applyFont="1" applyBorder="1" applyAlignment="1">
      <alignment horizontal="center" vertical="center" wrapText="1"/>
    </xf>
    <xf numFmtId="0" fontId="36" fillId="0" borderId="2" xfId="50" applyFont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Border="1" applyAlignment="1" applyProtection="1">
      <alignment horizontal="center" vertical="center"/>
      <protection locked="0"/>
    </xf>
    <xf numFmtId="3" fontId="35" fillId="0" borderId="20" xfId="50" applyNumberFormat="1" applyFont="1" applyBorder="1" applyAlignment="1">
      <alignment horizontal="center" vertical="center" wrapText="1"/>
    </xf>
    <xf numFmtId="0" fontId="36" fillId="0" borderId="77" xfId="50" applyFont="1" applyBorder="1" applyAlignment="1">
      <alignment vertical="center" wrapText="1"/>
    </xf>
    <xf numFmtId="0" fontId="36" fillId="0" borderId="3" xfId="50" applyFont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Border="1" applyAlignment="1" applyProtection="1">
      <alignment horizontal="center" vertical="center" wrapText="1"/>
      <protection locked="0"/>
    </xf>
    <xf numFmtId="0" fontId="36" fillId="0" borderId="67" xfId="50" applyFont="1" applyBorder="1" applyAlignment="1">
      <alignment vertical="center" wrapText="1"/>
    </xf>
    <xf numFmtId="0" fontId="36" fillId="0" borderId="1" xfId="50" applyFont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Border="1" applyAlignment="1" applyProtection="1">
      <alignment horizontal="center" vertical="center" wrapText="1"/>
      <protection locked="0"/>
    </xf>
    <xf numFmtId="0" fontId="36" fillId="0" borderId="5" xfId="50" applyFont="1" applyBorder="1" applyAlignment="1" applyProtection="1">
      <alignment vertical="center" wrapText="1"/>
      <protection locked="0"/>
    </xf>
    <xf numFmtId="3" fontId="35" fillId="0" borderId="18" xfId="50" applyNumberFormat="1" applyFont="1" applyBorder="1" applyAlignment="1">
      <alignment horizontal="center" vertical="center" wrapText="1"/>
    </xf>
    <xf numFmtId="0" fontId="23" fillId="7" borderId="68" xfId="50" applyFont="1" applyFill="1" applyBorder="1" applyAlignment="1">
      <alignment horizontal="left" vertical="center" wrapText="1" indent="2"/>
    </xf>
    <xf numFmtId="170" fontId="24" fillId="0" borderId="0" xfId="52" applyNumberFormat="1" applyFont="1" applyAlignment="1">
      <alignment horizontal="right"/>
    </xf>
    <xf numFmtId="0" fontId="101" fillId="0" borderId="0" xfId="0" applyFont="1" applyAlignment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6" xfId="21" applyFont="1" applyBorder="1" applyAlignment="1">
      <alignment horizontal="center" vertical="center" wrapText="1"/>
    </xf>
    <xf numFmtId="0" fontId="23" fillId="0" borderId="38" xfId="21" applyFont="1" applyBorder="1" applyAlignment="1">
      <alignment horizontal="center" vertical="center"/>
    </xf>
    <xf numFmtId="0" fontId="23" fillId="0" borderId="75" xfId="21" applyFont="1" applyBorder="1" applyAlignment="1">
      <alignment horizontal="center" vertical="center"/>
    </xf>
    <xf numFmtId="0" fontId="110" fillId="0" borderId="2" xfId="48" applyFont="1" applyBorder="1" applyAlignment="1" applyProtection="1">
      <alignment vertical="center" wrapText="1"/>
      <protection locked="0"/>
    </xf>
    <xf numFmtId="167" fontId="110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Alignment="1">
      <alignment horizontal="left" vertical="top" wrapText="1"/>
    </xf>
    <xf numFmtId="0" fontId="9" fillId="0" borderId="0" xfId="21" applyFont="1"/>
    <xf numFmtId="3" fontId="9" fillId="0" borderId="2" xfId="48" applyNumberFormat="1" applyFont="1" applyBorder="1" applyAlignment="1" applyProtection="1">
      <alignment horizontal="right" vertical="center" wrapText="1"/>
      <protection locked="0"/>
    </xf>
    <xf numFmtId="0" fontId="36" fillId="0" borderId="2" xfId="48" applyFont="1" applyBorder="1" applyAlignment="1" applyProtection="1">
      <alignment vertical="center" wrapText="1"/>
      <protection locked="0"/>
    </xf>
    <xf numFmtId="166" fontId="66" fillId="0" borderId="44" xfId="0" applyNumberFormat="1" applyFont="1" applyBorder="1" applyAlignment="1" applyProtection="1">
      <alignment horizontal="right" vertical="center" wrapText="1" indent="1"/>
      <protection locked="0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6" fontId="35" fillId="0" borderId="18" xfId="21" applyNumberFormat="1" applyFont="1" applyBorder="1" applyAlignment="1">
      <alignment horizontal="right" vertical="center" wrapText="1" indent="1"/>
    </xf>
    <xf numFmtId="0" fontId="39" fillId="0" borderId="24" xfId="0" applyFont="1" applyBorder="1" applyAlignment="1">
      <alignment horizontal="right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170" fontId="114" fillId="0" borderId="19" xfId="53" applyNumberFormat="1" applyFont="1" applyFill="1" applyBorder="1" applyAlignment="1">
      <alignment horizontal="right" vertical="center"/>
    </xf>
    <xf numFmtId="0" fontId="112" fillId="0" borderId="14" xfId="18" applyFont="1" applyBorder="1" applyAlignment="1">
      <alignment horizontal="left" vertical="center" wrapText="1"/>
    </xf>
    <xf numFmtId="170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70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0" applyFont="1" applyAlignment="1">
      <alignment vertical="center"/>
    </xf>
    <xf numFmtId="14" fontId="113" fillId="0" borderId="0" xfId="18" quotePrefix="1" applyNumberFormat="1" applyFont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0" xfId="0" applyFont="1" applyFill="1" applyBorder="1" applyAlignment="1">
      <alignment horizontal="left" vertical="center" wrapText="1"/>
    </xf>
    <xf numFmtId="170" fontId="113" fillId="0" borderId="18" xfId="53" applyNumberFormat="1" applyFont="1" applyFill="1" applyBorder="1" applyAlignment="1">
      <alignment horizontal="right" vertical="center"/>
    </xf>
    <xf numFmtId="170" fontId="113" fillId="0" borderId="26" xfId="53" applyNumberFormat="1" applyFont="1" applyFill="1" applyBorder="1" applyAlignment="1">
      <alignment horizontal="right" vertical="center"/>
    </xf>
    <xf numFmtId="170" fontId="114" fillId="0" borderId="19" xfId="53" applyNumberFormat="1" applyFont="1" applyFill="1" applyBorder="1" applyAlignment="1">
      <alignment horizontal="right" vertical="center" wrapText="1"/>
    </xf>
    <xf numFmtId="170" fontId="113" fillId="0" borderId="22" xfId="18" applyNumberFormat="1" applyFont="1" applyBorder="1" applyAlignment="1">
      <alignment horizontal="right" vertical="center"/>
    </xf>
    <xf numFmtId="170" fontId="112" fillId="0" borderId="19" xfId="18" applyNumberFormat="1" applyFont="1" applyBorder="1" applyAlignment="1">
      <alignment horizontal="right" vertical="center"/>
    </xf>
    <xf numFmtId="170" fontId="107" fillId="0" borderId="0" xfId="18" applyNumberFormat="1" applyFont="1" applyAlignment="1">
      <alignment horizontal="right"/>
    </xf>
    <xf numFmtId="0" fontId="39" fillId="0" borderId="24" xfId="0" applyFont="1" applyBorder="1" applyAlignment="1">
      <alignment horizontal="right" vertical="center"/>
    </xf>
    <xf numFmtId="0" fontId="35" fillId="0" borderId="28" xfId="21" applyFont="1" applyBorder="1" applyAlignment="1">
      <alignment horizontal="center" vertical="center" wrapText="1"/>
    </xf>
    <xf numFmtId="166" fontId="35" fillId="0" borderId="17" xfId="21" applyNumberFormat="1" applyFont="1" applyBorder="1" applyAlignment="1">
      <alignment horizontal="right" vertical="center" wrapText="1" indent="1"/>
    </xf>
    <xf numFmtId="166" fontId="35" fillId="0" borderId="22" xfId="21" applyNumberFormat="1" applyFont="1" applyBorder="1" applyAlignment="1">
      <alignment horizontal="right" vertical="center" wrapText="1" indent="1"/>
    </xf>
    <xf numFmtId="166" fontId="35" fillId="0" borderId="19" xfId="21" applyNumberFormat="1" applyFont="1" applyBorder="1" applyAlignment="1">
      <alignment horizontal="center" vertical="center" wrapText="1"/>
    </xf>
    <xf numFmtId="49" fontId="70" fillId="0" borderId="2" xfId="0" applyNumberFormat="1" applyFont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Border="1" applyAlignment="1">
      <alignment horizontal="left" vertical="center" wrapText="1"/>
    </xf>
    <xf numFmtId="166" fontId="77" fillId="0" borderId="34" xfId="0" applyNumberFormat="1" applyFont="1" applyBorder="1" applyAlignment="1">
      <alignment horizontal="center" vertical="center" wrapText="1"/>
    </xf>
    <xf numFmtId="166" fontId="73" fillId="0" borderId="34" xfId="0" applyNumberFormat="1" applyFont="1" applyBorder="1" applyAlignment="1">
      <alignment horizontal="center" vertical="center" wrapText="1"/>
    </xf>
    <xf numFmtId="166" fontId="88" fillId="0" borderId="13" xfId="0" applyNumberFormat="1" applyFont="1" applyBorder="1" applyAlignment="1">
      <alignment horizontal="right" vertical="center" wrapText="1"/>
    </xf>
    <xf numFmtId="166" fontId="79" fillId="0" borderId="2" xfId="0" applyNumberFormat="1" applyFont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Border="1" applyAlignment="1">
      <alignment vertical="center" wrapText="1"/>
    </xf>
    <xf numFmtId="0" fontId="87" fillId="0" borderId="34" xfId="28" applyFont="1" applyBorder="1" applyAlignment="1">
      <alignment vertical="center"/>
    </xf>
    <xf numFmtId="166" fontId="38" fillId="0" borderId="13" xfId="28" applyNumberFormat="1" applyFont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Border="1" applyAlignment="1">
      <alignment vertical="center" wrapText="1"/>
    </xf>
    <xf numFmtId="0" fontId="43" fillId="0" borderId="55" xfId="21" applyFont="1" applyBorder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Border="1" applyAlignment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Border="1" applyAlignment="1">
      <alignment horizontal="right" vertical="center" wrapText="1"/>
    </xf>
    <xf numFmtId="3" fontId="27" fillId="0" borderId="44" xfId="21" applyNumberFormat="1" applyFont="1" applyBorder="1" applyAlignment="1">
      <alignment horizontal="right" vertical="center" wrapText="1"/>
    </xf>
    <xf numFmtId="3" fontId="36" fillId="0" borderId="50" xfId="21" applyNumberFormat="1" applyFont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Border="1" applyAlignment="1">
      <alignment horizontal="right" vertical="center" wrapText="1"/>
    </xf>
    <xf numFmtId="3" fontId="36" fillId="0" borderId="23" xfId="21" applyNumberFormat="1" applyFont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/>
    </xf>
    <xf numFmtId="3" fontId="36" fillId="0" borderId="53" xfId="21" applyNumberFormat="1" applyFont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>
      <alignment horizontal="right" vertical="center" wrapText="1"/>
    </xf>
    <xf numFmtId="3" fontId="27" fillId="0" borderId="52" xfId="21" applyNumberFormat="1" applyFont="1" applyBorder="1" applyAlignment="1">
      <alignment horizontal="right" vertical="center" wrapText="1"/>
    </xf>
    <xf numFmtId="3" fontId="35" fillId="0" borderId="36" xfId="21" applyNumberFormat="1" applyFont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Border="1" applyAlignment="1">
      <alignment horizontal="right" vertical="center" wrapText="1"/>
    </xf>
    <xf numFmtId="3" fontId="36" fillId="0" borderId="20" xfId="21" applyNumberFormat="1" applyFont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Border="1" applyAlignment="1">
      <alignment horizontal="right" vertical="center" wrapText="1"/>
    </xf>
    <xf numFmtId="3" fontId="16" fillId="0" borderId="68" xfId="21" applyNumberFormat="1" applyFont="1" applyBorder="1" applyAlignment="1">
      <alignment horizontal="center" vertical="center" wrapText="1"/>
    </xf>
    <xf numFmtId="3" fontId="36" fillId="0" borderId="57" xfId="21" applyNumberFormat="1" applyFont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Border="1" applyAlignment="1">
      <alignment horizontal="center" vertical="center" wrapText="1"/>
    </xf>
    <xf numFmtId="3" fontId="36" fillId="0" borderId="32" xfId="21" applyNumberFormat="1" applyFont="1" applyBorder="1" applyAlignment="1">
      <alignment horizontal="right" vertical="center" wrapText="1"/>
    </xf>
    <xf numFmtId="166" fontId="27" fillId="0" borderId="19" xfId="21" applyNumberFormat="1" applyFont="1" applyBorder="1" applyAlignment="1">
      <alignment horizontal="right" vertical="center" wrapText="1"/>
    </xf>
    <xf numFmtId="3" fontId="36" fillId="0" borderId="17" xfId="21" applyNumberFormat="1" applyFont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Border="1" applyAlignment="1" applyProtection="1">
      <alignment horizontal="right" vertical="center" wrapText="1"/>
      <protection locked="0"/>
    </xf>
    <xf numFmtId="166" fontId="35" fillId="0" borderId="27" xfId="21" applyNumberFormat="1" applyFont="1" applyBorder="1" applyAlignment="1">
      <alignment horizontal="right" vertical="center" wrapText="1"/>
    </xf>
    <xf numFmtId="3" fontId="36" fillId="0" borderId="22" xfId="21" applyNumberFormat="1" applyFont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Border="1" applyAlignment="1">
      <alignment horizontal="right" vertical="center" wrapText="1"/>
    </xf>
    <xf numFmtId="3" fontId="36" fillId="0" borderId="36" xfId="21" applyNumberFormat="1" applyFont="1" applyBorder="1" applyAlignment="1">
      <alignment horizontal="right" vertical="center" wrapText="1"/>
    </xf>
    <xf numFmtId="3" fontId="36" fillId="0" borderId="18" xfId="21" applyNumberFormat="1" applyFont="1" applyBorder="1" applyAlignment="1" applyProtection="1">
      <alignment horizontal="right" vertical="center" wrapText="1"/>
      <protection locked="0"/>
    </xf>
    <xf numFmtId="166" fontId="36" fillId="0" borderId="20" xfId="21" applyNumberFormat="1" applyFont="1" applyBorder="1" applyAlignment="1">
      <alignment horizontal="right" vertical="center" wrapText="1"/>
    </xf>
    <xf numFmtId="166" fontId="35" fillId="0" borderId="20" xfId="21" applyNumberFormat="1" applyFont="1" applyBorder="1" applyAlignment="1">
      <alignment horizontal="right" vertical="center" wrapText="1"/>
    </xf>
    <xf numFmtId="166" fontId="35" fillId="0" borderId="40" xfId="21" applyNumberFormat="1" applyFont="1" applyBorder="1" applyAlignment="1">
      <alignment horizontal="right" vertical="center" wrapText="1"/>
    </xf>
    <xf numFmtId="3" fontId="35" fillId="0" borderId="27" xfId="21" applyNumberFormat="1" applyFont="1" applyBorder="1" applyAlignment="1">
      <alignment horizontal="right" vertical="center" wrapText="1"/>
    </xf>
    <xf numFmtId="3" fontId="29" fillId="0" borderId="32" xfId="21" applyNumberFormat="1" applyFont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Border="1" applyAlignment="1">
      <alignment horizontal="right" vertical="center" wrapText="1"/>
    </xf>
    <xf numFmtId="3" fontId="34" fillId="0" borderId="44" xfId="0" applyNumberFormat="1" applyFont="1" applyBorder="1" applyAlignment="1">
      <alignment horizontal="right" vertical="center" wrapText="1"/>
    </xf>
    <xf numFmtId="3" fontId="34" fillId="0" borderId="19" xfId="0" applyNumberFormat="1" applyFont="1" applyBorder="1" applyAlignment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>
      <alignment horizontal="right" vertical="center" wrapText="1"/>
    </xf>
    <xf numFmtId="3" fontId="32" fillId="0" borderId="19" xfId="0" quotePrefix="1" applyNumberFormat="1" applyFont="1" applyBorder="1" applyAlignment="1">
      <alignment horizontal="right" vertical="center" wrapText="1"/>
    </xf>
    <xf numFmtId="3" fontId="27" fillId="0" borderId="35" xfId="21" applyNumberFormat="1" applyFont="1" applyBorder="1" applyAlignment="1">
      <alignment horizontal="right" vertical="center" wrapText="1" indent="1"/>
    </xf>
    <xf numFmtId="3" fontId="36" fillId="0" borderId="57" xfId="21" applyNumberFormat="1" applyFont="1" applyBorder="1" applyAlignment="1">
      <alignment horizontal="right" vertical="center" wrapText="1" indent="1"/>
    </xf>
    <xf numFmtId="3" fontId="36" fillId="0" borderId="36" xfId="21" applyNumberFormat="1" applyFont="1" applyBorder="1" applyAlignment="1">
      <alignment horizontal="right" vertical="center" wrapText="1" indent="1"/>
    </xf>
    <xf numFmtId="3" fontId="36" fillId="0" borderId="53" xfId="21" applyNumberFormat="1" applyFont="1" applyBorder="1" applyAlignment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Border="1" applyAlignment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Border="1" applyAlignment="1">
      <alignment horizontal="right" vertical="center" wrapText="1" indent="1"/>
    </xf>
    <xf numFmtId="3" fontId="27" fillId="0" borderId="53" xfId="21" applyNumberFormat="1" applyFont="1" applyBorder="1" applyAlignment="1">
      <alignment horizontal="right" vertical="center" wrapText="1" indent="1"/>
    </xf>
    <xf numFmtId="3" fontId="29" fillId="0" borderId="44" xfId="21" applyNumberFormat="1" applyFont="1" applyBorder="1" applyAlignment="1">
      <alignment horizontal="right" vertical="center" wrapText="1" indent="1"/>
    </xf>
    <xf numFmtId="3" fontId="36" fillId="0" borderId="58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 indent="1"/>
    </xf>
    <xf numFmtId="3" fontId="36" fillId="0" borderId="74" xfId="21" applyNumberFormat="1" applyFont="1" applyBorder="1" applyAlignment="1">
      <alignment horizontal="right" vertical="center" wrapText="1" indent="1"/>
    </xf>
    <xf numFmtId="3" fontId="27" fillId="0" borderId="42" xfId="21" applyNumberFormat="1" applyFont="1" applyBorder="1" applyAlignment="1">
      <alignment horizontal="right" vertical="center" wrapText="1" indent="1"/>
    </xf>
    <xf numFmtId="3" fontId="27" fillId="0" borderId="58" xfId="21" applyNumberFormat="1" applyFont="1" applyBorder="1" applyAlignment="1">
      <alignment horizontal="right" vertical="center" wrapText="1" indent="1"/>
    </xf>
    <xf numFmtId="3" fontId="27" fillId="0" borderId="41" xfId="21" applyNumberFormat="1" applyFont="1" applyBorder="1" applyAlignment="1">
      <alignment horizontal="right" vertical="center" wrapText="1" indent="1"/>
    </xf>
    <xf numFmtId="3" fontId="27" fillId="0" borderId="74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/>
    </xf>
    <xf numFmtId="3" fontId="36" fillId="0" borderId="56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/>
    </xf>
    <xf numFmtId="3" fontId="29" fillId="0" borderId="41" xfId="21" applyNumberFormat="1" applyFont="1" applyBorder="1" applyAlignment="1">
      <alignment horizontal="right" vertical="center" wrapText="1"/>
    </xf>
    <xf numFmtId="3" fontId="29" fillId="0" borderId="42" xfId="21" applyNumberFormat="1" applyFont="1" applyBorder="1" applyAlignment="1">
      <alignment horizontal="right" vertical="center" wrapText="1"/>
    </xf>
    <xf numFmtId="3" fontId="29" fillId="0" borderId="56" xfId="21" applyNumberFormat="1" applyFont="1" applyBorder="1" applyAlignment="1">
      <alignment horizontal="right" vertical="center" wrapText="1"/>
    </xf>
    <xf numFmtId="166" fontId="36" fillId="0" borderId="5" xfId="50" applyNumberFormat="1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106" fillId="0" borderId="8" xfId="0" applyNumberFormat="1" applyFont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Border="1" applyAlignment="1" applyProtection="1">
      <alignment horizontal="center" vertical="center" wrapText="1"/>
      <protection locked="0"/>
    </xf>
    <xf numFmtId="166" fontId="106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Border="1" applyAlignment="1">
      <alignment vertical="center" wrapText="1"/>
    </xf>
    <xf numFmtId="166" fontId="46" fillId="0" borderId="13" xfId="0" applyNumberFormat="1" applyFont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Border="1" applyAlignment="1">
      <alignment vertical="center" wrapText="1"/>
    </xf>
    <xf numFmtId="0" fontId="116" fillId="0" borderId="0" xfId="21" applyFont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6" fillId="0" borderId="8" xfId="48" applyFont="1" applyBorder="1" applyAlignment="1" applyProtection="1">
      <alignment vertical="center" wrapText="1"/>
      <protection locked="0"/>
    </xf>
    <xf numFmtId="166" fontId="66" fillId="0" borderId="22" xfId="0" applyNumberFormat="1" applyFont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4" fontId="70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Border="1" applyAlignment="1">
      <alignment vertical="center"/>
    </xf>
    <xf numFmtId="166" fontId="106" fillId="0" borderId="4" xfId="0" applyNumberFormat="1" applyFont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2" fontId="33" fillId="0" borderId="18" xfId="25" applyNumberFormat="1" applyFont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0" fontId="113" fillId="10" borderId="2" xfId="0" applyFont="1" applyFill="1" applyBorder="1" applyAlignment="1">
      <alignment horizontal="left" vertical="center" wrapText="1"/>
    </xf>
    <xf numFmtId="170" fontId="113" fillId="0" borderId="18" xfId="18" applyNumberFormat="1" applyFont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Border="1" applyAlignment="1" applyProtection="1">
      <alignment horizontal="right" vertical="center" wrapText="1" indent="1"/>
      <protection locked="0"/>
    </xf>
    <xf numFmtId="170" fontId="113" fillId="0" borderId="17" xfId="18" applyNumberFormat="1" applyFont="1" applyBorder="1" applyAlignment="1">
      <alignment horizontal="right" vertical="center"/>
    </xf>
    <xf numFmtId="170" fontId="113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Border="1" applyAlignment="1">
      <alignment vertical="center"/>
    </xf>
    <xf numFmtId="0" fontId="93" fillId="0" borderId="24" xfId="25" applyFont="1" applyBorder="1"/>
    <xf numFmtId="170" fontId="36" fillId="0" borderId="18" xfId="0" applyNumberFormat="1" applyFont="1" applyBorder="1" applyAlignment="1" applyProtection="1">
      <alignment horizontal="right" vertical="center" indent="1"/>
      <protection locked="0"/>
    </xf>
    <xf numFmtId="170" fontId="37" fillId="0" borderId="27" xfId="0" applyNumberFormat="1" applyFont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9" fillId="0" borderId="5" xfId="19" applyNumberFormat="1" applyFont="1" applyBorder="1"/>
    <xf numFmtId="170" fontId="109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60" fillId="0" borderId="21" xfId="19" applyNumberFormat="1" applyFont="1" applyBorder="1"/>
    <xf numFmtId="170" fontId="74" fillId="0" borderId="21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1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Border="1" applyAlignment="1">
      <alignment horizontal="center" vertical="center" wrapText="1"/>
    </xf>
    <xf numFmtId="166" fontId="78" fillId="0" borderId="24" xfId="0" applyNumberFormat="1" applyFont="1" applyBorder="1" applyAlignment="1">
      <alignment horizontal="right" wrapText="1"/>
    </xf>
    <xf numFmtId="166" fontId="39" fillId="0" borderId="24" xfId="0" applyNumberFormat="1" applyFont="1" applyBorder="1" applyAlignment="1">
      <alignment horizontal="right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Alignment="1">
      <alignment horizontal="center" vertical="center" wrapText="1"/>
    </xf>
    <xf numFmtId="166" fontId="78" fillId="0" borderId="24" xfId="0" applyNumberFormat="1" applyFont="1" applyBorder="1" applyAlignment="1">
      <alignment wrapText="1"/>
    </xf>
    <xf numFmtId="166" fontId="39" fillId="0" borderId="24" xfId="0" applyNumberFormat="1" applyFont="1" applyBorder="1" applyAlignment="1">
      <alignment wrapText="1"/>
    </xf>
    <xf numFmtId="166" fontId="15" fillId="0" borderId="2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6" fontId="16" fillId="0" borderId="14" xfId="0" applyNumberFormat="1" applyFont="1" applyBorder="1" applyAlignment="1">
      <alignment horizontal="center" vertical="center" wrapText="1"/>
    </xf>
    <xf numFmtId="166" fontId="16" fillId="0" borderId="19" xfId="0" applyNumberFormat="1" applyFont="1" applyBorder="1" applyAlignment="1">
      <alignment horizontal="center" vertical="center" wrapText="1"/>
    </xf>
    <xf numFmtId="0" fontId="99" fillId="0" borderId="75" xfId="28" applyFont="1" applyBorder="1" applyAlignment="1">
      <alignment vertical="center"/>
    </xf>
    <xf numFmtId="0" fontId="106" fillId="0" borderId="75" xfId="28" applyFont="1" applyBorder="1" applyAlignment="1">
      <alignment vertical="center" wrapText="1"/>
    </xf>
    <xf numFmtId="0" fontId="106" fillId="0" borderId="60" xfId="28" applyFont="1" applyBorder="1" applyAlignment="1">
      <alignment vertical="center" wrapText="1"/>
    </xf>
    <xf numFmtId="0" fontId="98" fillId="0" borderId="34" xfId="0" applyFont="1" applyBorder="1" applyAlignment="1">
      <alignment vertical="center"/>
    </xf>
    <xf numFmtId="0" fontId="99" fillId="0" borderId="47" xfId="0" quotePrefix="1" applyFont="1" applyBorder="1" applyAlignment="1">
      <alignment vertical="center"/>
    </xf>
    <xf numFmtId="0" fontId="98" fillId="0" borderId="34" xfId="0" applyFont="1" applyBorder="1" applyAlignment="1">
      <alignment vertical="center" wrapText="1"/>
    </xf>
    <xf numFmtId="0" fontId="106" fillId="0" borderId="47" xfId="0" quotePrefix="1" applyFont="1" applyBorder="1" applyAlignment="1">
      <alignment vertical="center"/>
    </xf>
    <xf numFmtId="0" fontId="87" fillId="0" borderId="34" xfId="21" applyFont="1" applyBorder="1" applyAlignment="1" applyProtection="1">
      <alignment vertical="center"/>
      <protection locked="0"/>
    </xf>
    <xf numFmtId="166" fontId="81" fillId="0" borderId="13" xfId="0" applyNumberFormat="1" applyFont="1" applyBorder="1" applyAlignment="1">
      <alignment horizontal="right" vertical="center" wrapText="1"/>
    </xf>
    <xf numFmtId="0" fontId="29" fillId="0" borderId="37" xfId="21" applyFont="1" applyBorder="1" applyAlignment="1">
      <alignment horizontal="left" vertical="center" wrapText="1" indent="6"/>
    </xf>
    <xf numFmtId="0" fontId="27" fillId="0" borderId="68" xfId="21" applyFont="1" applyBorder="1" applyAlignment="1">
      <alignment vertical="center" wrapText="1"/>
    </xf>
    <xf numFmtId="0" fontId="0" fillId="8" borderId="0" xfId="0" applyFill="1" applyAlignment="1">
      <alignment vertical="center" wrapText="1"/>
    </xf>
    <xf numFmtId="4" fontId="0" fillId="0" borderId="19" xfId="0" applyNumberFormat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Border="1" applyAlignment="1" applyProtection="1">
      <alignment horizontal="right" vertical="center" indent="1"/>
      <protection locked="0"/>
    </xf>
    <xf numFmtId="0" fontId="36" fillId="0" borderId="30" xfId="24" quotePrefix="1" applyFont="1" applyBorder="1" applyAlignment="1">
      <alignment vertical="center" wrapText="1"/>
    </xf>
    <xf numFmtId="2" fontId="33" fillId="0" borderId="23" xfId="25" applyNumberFormat="1" applyFont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7" fontId="15" fillId="0" borderId="27" xfId="26" applyNumberFormat="1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70" fontId="112" fillId="0" borderId="28" xfId="18" applyNumberFormat="1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170" fontId="43" fillId="0" borderId="18" xfId="19" applyNumberFormat="1" applyFont="1" applyBorder="1"/>
    <xf numFmtId="0" fontId="16" fillId="0" borderId="0" xfId="0" applyFont="1" applyAlignment="1">
      <alignment horizontal="center" vertical="center"/>
    </xf>
    <xf numFmtId="166" fontId="77" fillId="0" borderId="0" xfId="0" applyNumberFormat="1" applyFont="1" applyAlignment="1">
      <alignment horizontal="center" vertical="center" wrapText="1"/>
    </xf>
    <xf numFmtId="166" fontId="106" fillId="0" borderId="18" xfId="0" applyNumberFormat="1" applyFont="1" applyBorder="1" applyAlignment="1">
      <alignment vertical="center" wrapText="1"/>
    </xf>
    <xf numFmtId="166" fontId="106" fillId="0" borderId="20" xfId="0" applyNumberFormat="1" applyFont="1" applyBorder="1" applyAlignment="1">
      <alignment vertical="center" wrapText="1"/>
    </xf>
    <xf numFmtId="4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106" fillId="0" borderId="17" xfId="0" applyNumberFormat="1" applyFont="1" applyBorder="1" applyAlignment="1">
      <alignment vertical="center" wrapText="1"/>
    </xf>
    <xf numFmtId="166" fontId="67" fillId="0" borderId="23" xfId="0" applyNumberFormat="1" applyFont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10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23" xfId="21" applyNumberFormat="1" applyFont="1" applyBorder="1" applyAlignment="1" applyProtection="1">
      <alignment horizontal="right" vertical="center" wrapText="1" indent="1"/>
      <protection locked="0"/>
    </xf>
    <xf numFmtId="3" fontId="9" fillId="0" borderId="1" xfId="48" applyNumberFormat="1" applyFont="1" applyBorder="1" applyAlignment="1" applyProtection="1">
      <alignment horizontal="right" vertical="center" wrapText="1"/>
      <protection locked="0"/>
    </xf>
    <xf numFmtId="0" fontId="23" fillId="0" borderId="42" xfId="21" applyFont="1" applyBorder="1" applyAlignment="1">
      <alignment horizontal="center" vertical="center"/>
    </xf>
    <xf numFmtId="0" fontId="36" fillId="0" borderId="5" xfId="48" applyFont="1" applyBorder="1" applyAlignment="1" applyProtection="1">
      <alignment vertical="center" wrapText="1"/>
      <protection locked="0"/>
    </xf>
    <xf numFmtId="0" fontId="36" fillId="0" borderId="6" xfId="48" applyFont="1" applyBorder="1" applyAlignment="1" applyProtection="1">
      <alignment vertical="center" wrapText="1"/>
      <protection locked="0"/>
    </xf>
    <xf numFmtId="0" fontId="36" fillId="0" borderId="2" xfId="21" applyFont="1" applyBorder="1" applyAlignment="1" applyProtection="1">
      <alignment horizontal="left" wrapText="1"/>
      <protection locked="0"/>
    </xf>
    <xf numFmtId="166" fontId="37" fillId="0" borderId="14" xfId="0" applyNumberFormat="1" applyFont="1" applyBorder="1" applyAlignment="1">
      <alignment vertical="center" wrapText="1"/>
    </xf>
    <xf numFmtId="166" fontId="81" fillId="0" borderId="19" xfId="0" applyNumberFormat="1" applyFont="1" applyBorder="1" applyAlignment="1">
      <alignment vertical="center" wrapText="1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166" fontId="0" fillId="0" borderId="2" xfId="0" applyNumberFormat="1" applyBorder="1" applyAlignment="1" applyProtection="1">
      <alignment vertical="center" wrapText="1"/>
      <protection locked="0"/>
    </xf>
    <xf numFmtId="166" fontId="0" fillId="0" borderId="18" xfId="0" applyNumberFormat="1" applyBorder="1" applyAlignment="1">
      <alignment vertical="center" wrapText="1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166" fontId="0" fillId="0" borderId="6" xfId="0" applyNumberFormat="1" applyBorder="1" applyAlignment="1" applyProtection="1">
      <alignment horizontal="right" vertical="center" wrapText="1"/>
      <protection locked="0"/>
    </xf>
    <xf numFmtId="166" fontId="9" fillId="0" borderId="10" xfId="28" applyNumberFormat="1" applyFont="1" applyBorder="1" applyAlignment="1" applyProtection="1">
      <alignment horizontal="right" vertical="center" wrapText="1"/>
      <protection locked="0"/>
    </xf>
    <xf numFmtId="166" fontId="99" fillId="0" borderId="8" xfId="0" applyNumberFormat="1" applyFont="1" applyBorder="1" applyAlignment="1" applyProtection="1">
      <alignment horizontal="right" vertical="center" wrapText="1"/>
      <protection locked="0"/>
    </xf>
    <xf numFmtId="49" fontId="99" fillId="0" borderId="2" xfId="0" applyNumberFormat="1" applyFont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Border="1" applyAlignment="1">
      <alignment vertical="center" wrapText="1"/>
    </xf>
    <xf numFmtId="166" fontId="81" fillId="0" borderId="13" xfId="0" applyNumberFormat="1" applyFont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Border="1" applyAlignment="1" applyProtection="1">
      <alignment horizontal="center" vertical="center" wrapText="1"/>
      <protection locked="0"/>
    </xf>
    <xf numFmtId="166" fontId="98" fillId="0" borderId="34" xfId="0" applyNumberFormat="1" applyFont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Border="1" applyAlignment="1" applyProtection="1">
      <alignment horizontal="left" vertical="center" wrapText="1"/>
      <protection locked="0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60" xfId="36" applyNumberFormat="1" applyFont="1" applyBorder="1" applyAlignment="1">
      <alignment horizontal="center" vertical="center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7" fontId="0" fillId="0" borderId="0" xfId="0" applyNumberFormat="1"/>
    <xf numFmtId="167" fontId="0" fillId="0" borderId="0" xfId="27" applyNumberFormat="1" applyFont="1" applyBorder="1"/>
    <xf numFmtId="166" fontId="37" fillId="0" borderId="0" xfId="36" applyNumberFormat="1" applyFont="1" applyAlignment="1">
      <alignment horizontal="right" vertical="center"/>
    </xf>
    <xf numFmtId="171" fontId="0" fillId="0" borderId="19" xfId="0" applyNumberFormat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0" fontId="20" fillId="0" borderId="8" xfId="20" quotePrefix="1" applyFont="1" applyBorder="1"/>
    <xf numFmtId="167" fontId="20" fillId="0" borderId="18" xfId="26" applyNumberFormat="1" applyFont="1" applyFill="1" applyBorder="1" applyAlignment="1"/>
    <xf numFmtId="0" fontId="20" fillId="0" borderId="8" xfId="20" applyFont="1" applyBorder="1"/>
    <xf numFmtId="0" fontId="20" fillId="0" borderId="8" xfId="20" applyFont="1" applyBorder="1" applyAlignment="1">
      <alignment horizontal="left"/>
    </xf>
    <xf numFmtId="3" fontId="122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7" fontId="20" fillId="0" borderId="22" xfId="26" applyNumberFormat="1" applyFont="1" applyFill="1" applyBorder="1" applyAlignment="1"/>
    <xf numFmtId="167" fontId="31" fillId="0" borderId="45" xfId="26" applyNumberFormat="1" applyFont="1" applyBorder="1"/>
    <xf numFmtId="0" fontId="31" fillId="0" borderId="27" xfId="20" quotePrefix="1" applyFont="1" applyBorder="1"/>
    <xf numFmtId="3" fontId="27" fillId="0" borderId="27" xfId="21" applyNumberFormat="1" applyFont="1" applyBorder="1" applyAlignment="1">
      <alignment horizontal="center" vertical="center" wrapText="1"/>
    </xf>
    <xf numFmtId="3" fontId="27" fillId="0" borderId="35" xfId="21" applyNumberFormat="1" applyFont="1" applyBorder="1" applyAlignment="1">
      <alignment horizontal="center" vertical="center" wrapText="1"/>
    </xf>
    <xf numFmtId="3" fontId="27" fillId="0" borderId="62" xfId="21" applyNumberFormat="1" applyFont="1" applyBorder="1" applyAlignment="1">
      <alignment horizontal="center" vertical="center" wrapText="1"/>
    </xf>
    <xf numFmtId="3" fontId="27" fillId="0" borderId="28" xfId="21" applyNumberFormat="1" applyFont="1" applyBorder="1" applyAlignment="1">
      <alignment horizontal="center" vertical="center" wrapText="1"/>
    </xf>
    <xf numFmtId="3" fontId="27" fillId="0" borderId="34" xfId="21" applyNumberFormat="1" applyFont="1" applyBorder="1" applyAlignment="1">
      <alignment horizontal="right" vertical="center" wrapText="1" indent="1"/>
    </xf>
    <xf numFmtId="3" fontId="16" fillId="0" borderId="13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 indent="1"/>
    </xf>
    <xf numFmtId="166" fontId="36" fillId="0" borderId="77" xfId="50" applyNumberFormat="1" applyFont="1" applyBorder="1" applyAlignment="1">
      <alignment vertical="center" wrapText="1"/>
    </xf>
    <xf numFmtId="0" fontId="29" fillId="0" borderId="4" xfId="50" applyFont="1" applyBorder="1" applyAlignment="1" applyProtection="1">
      <alignment horizontal="center" vertical="center" wrapText="1"/>
      <protection locked="0"/>
    </xf>
    <xf numFmtId="166" fontId="27" fillId="0" borderId="41" xfId="50" applyNumberFormat="1" applyFont="1" applyBorder="1" applyAlignment="1">
      <alignment horizontal="center" vertical="center" wrapText="1"/>
    </xf>
    <xf numFmtId="166" fontId="35" fillId="0" borderId="42" xfId="50" applyNumberFormat="1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>
      <alignment horizontal="right" vertical="center" indent="1"/>
    </xf>
    <xf numFmtId="0" fontId="36" fillId="0" borderId="42" xfId="0" applyFont="1" applyBorder="1" applyAlignment="1">
      <alignment horizontal="right" vertical="center" indent="1"/>
    </xf>
    <xf numFmtId="166" fontId="9" fillId="0" borderId="75" xfId="28" applyNumberFormat="1" applyFont="1" applyBorder="1" applyAlignment="1" applyProtection="1">
      <alignment horizontal="left" vertical="center" wrapText="1"/>
      <protection locked="0"/>
    </xf>
    <xf numFmtId="166" fontId="9" fillId="0" borderId="9" xfId="28" applyNumberFormat="1" applyFont="1" applyBorder="1" applyAlignment="1" applyProtection="1">
      <alignment horizontal="right" vertical="center" wrapText="1"/>
      <protection locked="0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166" fontId="0" fillId="0" borderId="3" xfId="0" applyNumberFormat="1" applyBorder="1" applyAlignment="1" applyProtection="1">
      <alignment horizontal="right" vertical="center" wrapText="1"/>
      <protection locked="0"/>
    </xf>
    <xf numFmtId="0" fontId="9" fillId="0" borderId="47" xfId="21" applyFont="1" applyBorder="1" applyAlignment="1" applyProtection="1">
      <alignment horizontal="left"/>
      <protection locked="0"/>
    </xf>
    <xf numFmtId="166" fontId="9" fillId="0" borderId="8" xfId="28" applyNumberFormat="1" applyFont="1" applyBorder="1" applyAlignment="1" applyProtection="1">
      <alignment horizontal="right" vertical="center" wrapText="1"/>
      <protection locked="0"/>
    </xf>
    <xf numFmtId="166" fontId="9" fillId="0" borderId="47" xfId="28" applyNumberFormat="1" applyFont="1" applyBorder="1" applyAlignment="1" applyProtection="1">
      <alignment horizontal="left" vertical="center" wrapText="1"/>
      <protection locked="0"/>
    </xf>
    <xf numFmtId="166" fontId="0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Border="1" applyAlignment="1" applyProtection="1">
      <alignment horizontal="left" vertical="center" wrapText="1"/>
      <protection locked="0"/>
    </xf>
    <xf numFmtId="0" fontId="99" fillId="0" borderId="75" xfId="0" applyFont="1" applyBorder="1" applyAlignment="1">
      <alignment vertical="center"/>
    </xf>
    <xf numFmtId="166" fontId="99" fillId="0" borderId="9" xfId="0" applyNumberFormat="1" applyFont="1" applyBorder="1" applyAlignment="1" applyProtection="1">
      <alignment horizontal="right" vertical="center" wrapText="1"/>
      <protection locked="0"/>
    </xf>
    <xf numFmtId="49" fontId="99" fillId="0" borderId="3" xfId="0" applyNumberFormat="1" applyFont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Border="1" applyAlignment="1" applyProtection="1">
      <alignment horizontal="right" vertical="center" wrapText="1"/>
      <protection locked="0"/>
    </xf>
    <xf numFmtId="0" fontId="99" fillId="0" borderId="47" xfId="0" applyFont="1" applyBorder="1" applyAlignment="1">
      <alignment vertical="center"/>
    </xf>
    <xf numFmtId="3" fontId="0" fillId="0" borderId="0" xfId="21" applyNumberFormat="1" applyFont="1" applyAlignment="1">
      <alignment horizontal="right" indent="1"/>
    </xf>
    <xf numFmtId="3" fontId="0" fillId="0" borderId="0" xfId="21" applyNumberFormat="1" applyFont="1"/>
    <xf numFmtId="3" fontId="9" fillId="0" borderId="0" xfId="21" applyNumberFormat="1" applyFont="1"/>
    <xf numFmtId="2" fontId="33" fillId="0" borderId="27" xfId="25" applyNumberFormat="1" applyFont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166" fontId="66" fillId="0" borderId="20" xfId="21" applyNumberFormat="1" applyFont="1" applyBorder="1" applyAlignment="1">
      <alignment horizontal="right" vertical="center" wrapText="1" indent="1"/>
    </xf>
    <xf numFmtId="166" fontId="67" fillId="0" borderId="6" xfId="0" applyNumberFormat="1" applyFont="1" applyBorder="1" applyAlignment="1" applyProtection="1">
      <alignment horizontal="right" vertical="center" wrapText="1"/>
      <protection locked="0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66" fillId="0" borderId="32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23" xfId="21" applyNumberFormat="1" applyFont="1" applyBorder="1" applyAlignment="1" applyProtection="1">
      <alignment horizontal="right" vertical="center" wrapText="1" indent="1"/>
      <protection locked="0"/>
    </xf>
    <xf numFmtId="167" fontId="108" fillId="0" borderId="44" xfId="26" applyNumberFormat="1" applyFont="1" applyBorder="1"/>
    <xf numFmtId="0" fontId="66" fillId="0" borderId="5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 indent="1"/>
      <protection locked="0"/>
    </xf>
    <xf numFmtId="170" fontId="66" fillId="0" borderId="18" xfId="0" applyNumberFormat="1" applyFont="1" applyBorder="1" applyAlignment="1" applyProtection="1">
      <alignment horizontal="right" vertical="center" indent="1"/>
      <protection locked="0"/>
    </xf>
    <xf numFmtId="0" fontId="36" fillId="0" borderId="27" xfId="0" applyFont="1" applyBorder="1" applyAlignment="1">
      <alignment horizontal="right" vertical="center" indent="1"/>
    </xf>
    <xf numFmtId="170" fontId="74" fillId="0" borderId="5" xfId="19" applyNumberFormat="1" applyFont="1" applyBorder="1"/>
    <xf numFmtId="170" fontId="74" fillId="0" borderId="8" xfId="19" applyNumberFormat="1" applyFont="1" applyBorder="1"/>
    <xf numFmtId="0" fontId="124" fillId="0" borderId="0" xfId="0" applyFont="1" applyAlignment="1">
      <alignment vertical="center" wrapText="1"/>
    </xf>
    <xf numFmtId="166" fontId="67" fillId="0" borderId="2" xfId="0" applyNumberFormat="1" applyFont="1" applyBorder="1" applyAlignment="1" applyProtection="1">
      <alignment vertical="center" wrapText="1"/>
      <protection locked="0"/>
    </xf>
    <xf numFmtId="0" fontId="36" fillId="0" borderId="59" xfId="0" applyFont="1" applyBorder="1" applyAlignment="1">
      <alignment horizontal="right" vertical="center" indent="1"/>
    </xf>
    <xf numFmtId="170" fontId="43" fillId="0" borderId="15" xfId="19" applyNumberFormat="1" applyFont="1" applyBorder="1"/>
    <xf numFmtId="0" fontId="106" fillId="0" borderId="47" xfId="0" applyFont="1" applyBorder="1" applyAlignment="1">
      <alignment wrapText="1"/>
    </xf>
    <xf numFmtId="166" fontId="9" fillId="0" borderId="11" xfId="28" applyNumberFormat="1" applyFont="1" applyBorder="1" applyAlignment="1" applyProtection="1">
      <alignment horizontal="right" vertical="center" wrapText="1"/>
      <protection locked="0"/>
    </xf>
    <xf numFmtId="49" fontId="0" fillId="0" borderId="4" xfId="0" applyNumberFormat="1" applyBorder="1" applyAlignment="1" applyProtection="1">
      <alignment horizontal="center" vertical="center" wrapText="1"/>
      <protection locked="0"/>
    </xf>
    <xf numFmtId="166" fontId="0" fillId="0" borderId="4" xfId="0" applyNumberFormat="1" applyBorder="1" applyAlignment="1" applyProtection="1">
      <alignment horizontal="right" vertical="center" wrapText="1"/>
      <protection locked="0"/>
    </xf>
    <xf numFmtId="166" fontId="0" fillId="0" borderId="17" xfId="0" applyNumberFormat="1" applyBorder="1" applyAlignment="1">
      <alignment vertical="center" wrapText="1"/>
    </xf>
    <xf numFmtId="0" fontId="9" fillId="0" borderId="43" xfId="48" applyFont="1" applyBorder="1" applyAlignment="1" applyProtection="1">
      <alignment vertical="center" wrapText="1"/>
      <protection locked="0"/>
    </xf>
    <xf numFmtId="166" fontId="37" fillId="0" borderId="34" xfId="0" applyNumberFormat="1" applyFont="1" applyBorder="1" applyAlignment="1">
      <alignment horizontal="left" vertical="center" wrapText="1"/>
    </xf>
    <xf numFmtId="166" fontId="0" fillId="0" borderId="4" xfId="0" applyNumberFormat="1" applyBorder="1" applyAlignment="1" applyProtection="1">
      <alignment vertical="center" wrapText="1"/>
      <protection locked="0"/>
    </xf>
    <xf numFmtId="166" fontId="9" fillId="0" borderId="8" xfId="28" applyNumberFormat="1" applyFont="1" applyBorder="1" applyAlignment="1" applyProtection="1">
      <alignment vertical="center" wrapText="1"/>
      <protection locked="0"/>
    </xf>
    <xf numFmtId="166" fontId="37" fillId="0" borderId="13" xfId="0" applyNumberFormat="1" applyFont="1" applyBorder="1" applyAlignment="1">
      <alignment vertical="center" wrapText="1"/>
    </xf>
    <xf numFmtId="166" fontId="35" fillId="0" borderId="46" xfId="0" applyNumberFormat="1" applyFont="1" applyBorder="1" applyAlignment="1">
      <alignment horizontal="center" vertical="center" wrapText="1"/>
    </xf>
    <xf numFmtId="166" fontId="81" fillId="0" borderId="27" xfId="0" applyNumberFormat="1" applyFont="1" applyBorder="1" applyAlignment="1" applyProtection="1">
      <alignment horizontal="right" vertical="center" wrapText="1"/>
      <protection locked="0"/>
    </xf>
    <xf numFmtId="3" fontId="68" fillId="0" borderId="2" xfId="25" applyNumberFormat="1" applyFont="1" applyBorder="1" applyAlignment="1">
      <alignment horizontal="right"/>
    </xf>
    <xf numFmtId="166" fontId="125" fillId="0" borderId="8" xfId="0" applyNumberFormat="1" applyFont="1" applyBorder="1" applyAlignment="1" applyProtection="1">
      <alignment horizontal="right" vertical="center" wrapText="1"/>
      <protection locked="0"/>
    </xf>
    <xf numFmtId="166" fontId="125" fillId="0" borderId="2" xfId="0" applyNumberFormat="1" applyFont="1" applyBorder="1" applyAlignment="1" applyProtection="1">
      <alignment horizontal="right" vertical="center" wrapText="1"/>
      <protection locked="0"/>
    </xf>
    <xf numFmtId="170" fontId="123" fillId="0" borderId="20" xfId="53" applyNumberFormat="1" applyFont="1" applyFill="1" applyBorder="1" applyAlignment="1">
      <alignment horizontal="right" vertical="center"/>
    </xf>
    <xf numFmtId="170" fontId="123" fillId="0" borderId="18" xfId="53" applyNumberFormat="1" applyFont="1" applyFill="1" applyBorder="1" applyAlignment="1">
      <alignment horizontal="right" vertical="center"/>
    </xf>
    <xf numFmtId="14" fontId="113" fillId="0" borderId="0" xfId="55" quotePrefix="1" applyNumberFormat="1" applyFont="1" applyAlignment="1">
      <alignment vertical="center"/>
    </xf>
    <xf numFmtId="49" fontId="113" fillId="0" borderId="27" xfId="18" applyNumberFormat="1" applyFont="1" applyBorder="1" applyAlignment="1">
      <alignment vertical="center"/>
    </xf>
    <xf numFmtId="0" fontId="112" fillId="0" borderId="81" xfId="18" applyFont="1" applyBorder="1" applyAlignment="1">
      <alignment horizontal="center" vertical="center" wrapText="1"/>
    </xf>
    <xf numFmtId="0" fontId="113" fillId="0" borderId="55" xfId="55" applyFont="1" applyBorder="1" applyAlignment="1">
      <alignment vertical="center"/>
    </xf>
    <xf numFmtId="0" fontId="113" fillId="0" borderId="5" xfId="55" applyFont="1" applyBorder="1" applyAlignment="1">
      <alignment vertical="center"/>
    </xf>
    <xf numFmtId="0" fontId="113" fillId="0" borderId="71" xfId="55" applyFont="1" applyBorder="1" applyAlignment="1">
      <alignment vertical="center"/>
    </xf>
    <xf numFmtId="0" fontId="113" fillId="10" borderId="82" xfId="0" applyFont="1" applyFill="1" applyBorder="1" applyAlignment="1">
      <alignment vertical="center" wrapText="1"/>
    </xf>
    <xf numFmtId="0" fontId="113" fillId="10" borderId="83" xfId="0" applyFont="1" applyFill="1" applyBorder="1" applyAlignment="1">
      <alignment vertical="center" wrapText="1"/>
    </xf>
    <xf numFmtId="0" fontId="113" fillId="10" borderId="83" xfId="0" quotePrefix="1" applyFont="1" applyFill="1" applyBorder="1" applyAlignment="1">
      <alignment vertical="center" wrapText="1"/>
    </xf>
    <xf numFmtId="0" fontId="113" fillId="0" borderId="5" xfId="18" quotePrefix="1" applyFont="1" applyBorder="1" applyAlignment="1">
      <alignment vertical="center"/>
    </xf>
    <xf numFmtId="0" fontId="112" fillId="0" borderId="61" xfId="18" applyFont="1" applyBorder="1" applyAlignment="1">
      <alignment horizontal="center" vertical="center"/>
    </xf>
    <xf numFmtId="49" fontId="113" fillId="0" borderId="58" xfId="18" applyNumberFormat="1" applyFont="1" applyBorder="1" applyAlignment="1">
      <alignment vertical="center"/>
    </xf>
    <xf numFmtId="49" fontId="113" fillId="0" borderId="42" xfId="18" applyNumberFormat="1" applyFont="1" applyBorder="1" applyAlignment="1">
      <alignment vertical="center"/>
    </xf>
    <xf numFmtId="49" fontId="113" fillId="0" borderId="59" xfId="18" applyNumberFormat="1" applyFont="1" applyBorder="1" applyAlignment="1">
      <alignment vertical="center"/>
    </xf>
    <xf numFmtId="49" fontId="112" fillId="0" borderId="27" xfId="18" applyNumberFormat="1" applyFont="1" applyBorder="1" applyAlignment="1">
      <alignment vertical="center"/>
    </xf>
    <xf numFmtId="0" fontId="113" fillId="0" borderId="58" xfId="55" applyFont="1" applyBorder="1" applyAlignment="1">
      <alignment vertical="center"/>
    </xf>
    <xf numFmtId="0" fontId="113" fillId="0" borderId="42" xfId="55" applyFont="1" applyBorder="1" applyAlignment="1">
      <alignment vertical="center"/>
    </xf>
    <xf numFmtId="14" fontId="113" fillId="0" borderId="38" xfId="55" quotePrefix="1" applyNumberFormat="1" applyFont="1" applyBorder="1" applyAlignment="1">
      <alignment vertical="center"/>
    </xf>
    <xf numFmtId="0" fontId="114" fillId="0" borderId="27" xfId="55" applyFont="1" applyBorder="1" applyAlignment="1">
      <alignment horizontal="left" vertical="center" wrapText="1"/>
    </xf>
    <xf numFmtId="14" fontId="113" fillId="0" borderId="38" xfId="18" quotePrefix="1" applyNumberFormat="1" applyFont="1" applyBorder="1" applyAlignment="1">
      <alignment vertical="center"/>
    </xf>
    <xf numFmtId="49" fontId="114" fillId="0" borderId="27" xfId="18" applyNumberFormat="1" applyFont="1" applyBorder="1" applyAlignment="1">
      <alignment vertical="center"/>
    </xf>
    <xf numFmtId="0" fontId="113" fillId="10" borderId="84" xfId="0" applyFont="1" applyFill="1" applyBorder="1" applyAlignment="1">
      <alignment vertical="center" wrapText="1"/>
    </xf>
    <xf numFmtId="0" fontId="113" fillId="10" borderId="85" xfId="0" applyFont="1" applyFill="1" applyBorder="1" applyAlignment="1">
      <alignment vertical="center" wrapText="1"/>
    </xf>
    <xf numFmtId="49" fontId="114" fillId="0" borderId="27" xfId="18" applyNumberFormat="1" applyFont="1" applyBorder="1" applyAlignment="1">
      <alignment vertical="center" wrapText="1"/>
    </xf>
    <xf numFmtId="0" fontId="113" fillId="0" borderId="38" xfId="0" applyFont="1" applyBorder="1" applyAlignment="1">
      <alignment vertical="center"/>
    </xf>
    <xf numFmtId="0" fontId="113" fillId="10" borderId="85" xfId="0" quotePrefix="1" applyFont="1" applyFill="1" applyBorder="1" applyAlignment="1">
      <alignment vertical="center" wrapText="1"/>
    </xf>
    <xf numFmtId="0" fontId="113" fillId="0" borderId="42" xfId="18" quotePrefix="1" applyFont="1" applyBorder="1" applyAlignment="1">
      <alignment vertical="center"/>
    </xf>
    <xf numFmtId="170" fontId="123" fillId="0" borderId="23" xfId="18" applyNumberFormat="1" applyFont="1" applyBorder="1" applyAlignment="1">
      <alignment horizontal="right" vertical="center"/>
    </xf>
    <xf numFmtId="166" fontId="36" fillId="8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8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16" fillId="0" borderId="0" xfId="0" applyFont="1" applyAlignment="1">
      <alignment vertical="center" wrapText="1"/>
    </xf>
    <xf numFmtId="171" fontId="38" fillId="0" borderId="19" xfId="0" applyNumberFormat="1" applyFont="1" applyBorder="1" applyAlignment="1" applyProtection="1">
      <alignment horizontal="right" vertical="center" wrapText="1" indent="1"/>
      <protection locked="0"/>
    </xf>
    <xf numFmtId="167" fontId="31" fillId="0" borderId="18" xfId="26" applyNumberFormat="1" applyFont="1" applyFill="1" applyBorder="1" applyAlignment="1"/>
    <xf numFmtId="167" fontId="66" fillId="0" borderId="57" xfId="26" applyNumberFormat="1" applyFont="1" applyFill="1" applyBorder="1" applyProtection="1">
      <protection locked="0"/>
    </xf>
    <xf numFmtId="0" fontId="106" fillId="0" borderId="75" xfId="0" applyFont="1" applyBorder="1" applyAlignment="1">
      <alignment wrapText="1"/>
    </xf>
    <xf numFmtId="166" fontId="67" fillId="0" borderId="18" xfId="0" applyNumberFormat="1" applyFont="1" applyBorder="1" applyAlignment="1">
      <alignment vertical="center" wrapText="1"/>
    </xf>
    <xf numFmtId="166" fontId="88" fillId="0" borderId="44" xfId="0" applyNumberFormat="1" applyFont="1" applyBorder="1" applyAlignment="1">
      <alignment horizontal="right" vertical="center" wrapText="1"/>
    </xf>
    <xf numFmtId="0" fontId="106" fillId="0" borderId="30" xfId="0" applyFont="1" applyBorder="1" applyAlignment="1">
      <alignment wrapText="1"/>
    </xf>
    <xf numFmtId="166" fontId="9" fillId="0" borderId="10" xfId="28" applyNumberFormat="1" applyFont="1" applyBorder="1" applyAlignment="1" applyProtection="1">
      <alignment vertical="center" wrapText="1"/>
      <protection locked="0"/>
    </xf>
    <xf numFmtId="166" fontId="43" fillId="0" borderId="27" xfId="36" applyNumberFormat="1" applyFont="1" applyBorder="1" applyAlignment="1">
      <alignment horizontal="right" vertical="center"/>
    </xf>
    <xf numFmtId="166" fontId="125" fillId="0" borderId="5" xfId="0" applyNumberFormat="1" applyFont="1" applyBorder="1" applyAlignment="1" applyProtection="1">
      <alignment horizontal="right" vertical="center" wrapText="1"/>
      <protection locked="0"/>
    </xf>
    <xf numFmtId="3" fontId="67" fillId="0" borderId="2" xfId="48" applyNumberFormat="1" applyFont="1" applyBorder="1" applyAlignment="1" applyProtection="1">
      <alignment horizontal="right" vertical="center" wrapText="1"/>
      <protection locked="0"/>
    </xf>
    <xf numFmtId="3" fontId="67" fillId="0" borderId="2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/>
      <protection locked="0"/>
    </xf>
    <xf numFmtId="3" fontId="23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20" xfId="49" applyNumberFormat="1" applyFont="1" applyFill="1" applyBorder="1" applyAlignment="1">
      <alignment horizontal="right" vertical="center"/>
    </xf>
    <xf numFmtId="3" fontId="23" fillId="0" borderId="5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 wrapText="1"/>
      <protection locked="0"/>
    </xf>
    <xf numFmtId="3" fontId="23" fillId="0" borderId="1" xfId="21" applyNumberFormat="1" applyFont="1" applyBorder="1" applyAlignment="1" applyProtection="1">
      <alignment horizontal="right" vertical="center"/>
      <protection locked="0"/>
    </xf>
    <xf numFmtId="3" fontId="23" fillId="0" borderId="67" xfId="49" applyNumberFormat="1" applyFont="1" applyFill="1" applyBorder="1" applyAlignment="1" applyProtection="1">
      <alignment horizontal="right" vertical="center"/>
      <protection locked="0"/>
    </xf>
    <xf numFmtId="3" fontId="23" fillId="0" borderId="1" xfId="49" applyNumberFormat="1" applyFont="1" applyFill="1" applyBorder="1" applyAlignment="1" applyProtection="1">
      <alignment horizontal="right" vertical="center"/>
      <protection locked="0"/>
    </xf>
    <xf numFmtId="3" fontId="9" fillId="0" borderId="2" xfId="21" applyNumberFormat="1" applyFont="1" applyBorder="1" applyAlignment="1" applyProtection="1">
      <alignment horizontal="right" vertical="center"/>
      <protection locked="0"/>
    </xf>
    <xf numFmtId="3" fontId="9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18" xfId="49" applyNumberFormat="1" applyFont="1" applyFill="1" applyBorder="1" applyAlignment="1">
      <alignment horizontal="right" vertical="center"/>
    </xf>
    <xf numFmtId="3" fontId="9" fillId="0" borderId="1" xfId="21" applyNumberFormat="1" applyFont="1" applyBorder="1" applyAlignment="1" applyProtection="1">
      <alignment horizontal="right" vertical="center"/>
      <protection locked="0"/>
    </xf>
    <xf numFmtId="3" fontId="9" fillId="0" borderId="1" xfId="49" applyNumberFormat="1" applyFont="1" applyFill="1" applyBorder="1" applyAlignment="1" applyProtection="1">
      <alignment horizontal="right" vertical="center"/>
      <protection locked="0"/>
    </xf>
    <xf numFmtId="3" fontId="38" fillId="0" borderId="40" xfId="49" applyNumberFormat="1" applyFont="1" applyFill="1" applyBorder="1" applyAlignment="1">
      <alignment horizontal="right" vertical="center"/>
    </xf>
    <xf numFmtId="166" fontId="9" fillId="0" borderId="9" xfId="28" applyNumberFormat="1" applyFont="1" applyBorder="1" applyAlignment="1" applyProtection="1">
      <alignment vertical="center" wrapText="1"/>
      <protection locked="0"/>
    </xf>
    <xf numFmtId="166" fontId="0" fillId="0" borderId="3" xfId="0" applyNumberFormat="1" applyBorder="1" applyAlignment="1" applyProtection="1">
      <alignment vertical="center" wrapText="1"/>
      <protection locked="0"/>
    </xf>
    <xf numFmtId="0" fontId="106" fillId="0" borderId="42" xfId="0" applyFont="1" applyBorder="1" applyAlignment="1">
      <alignment wrapText="1"/>
    </xf>
    <xf numFmtId="0" fontId="106" fillId="0" borderId="43" xfId="0" applyFont="1" applyBorder="1" applyAlignment="1">
      <alignment wrapText="1"/>
    </xf>
    <xf numFmtId="166" fontId="9" fillId="0" borderId="39" xfId="28" applyNumberFormat="1" applyFont="1" applyBorder="1" applyAlignment="1" applyProtection="1">
      <alignment vertical="center" wrapText="1"/>
      <protection locked="0"/>
    </xf>
    <xf numFmtId="49" fontId="0" fillId="0" borderId="25" xfId="0" applyNumberFormat="1" applyBorder="1" applyAlignment="1" applyProtection="1">
      <alignment horizontal="center" vertical="center" wrapText="1"/>
      <protection locked="0"/>
    </xf>
    <xf numFmtId="166" fontId="0" fillId="0" borderId="25" xfId="0" applyNumberFormat="1" applyBorder="1" applyAlignment="1" applyProtection="1">
      <alignment vertical="center" wrapText="1"/>
      <protection locked="0"/>
    </xf>
    <xf numFmtId="0" fontId="106" fillId="0" borderId="47" xfId="0" quotePrefix="1" applyFont="1" applyBorder="1" applyAlignment="1">
      <alignment vertical="center" wrapText="1"/>
    </xf>
    <xf numFmtId="166" fontId="0" fillId="0" borderId="6" xfId="0" applyNumberFormat="1" applyBorder="1" applyAlignment="1" applyProtection="1">
      <alignment vertical="center" wrapText="1"/>
      <protection locked="0"/>
    </xf>
    <xf numFmtId="166" fontId="125" fillId="0" borderId="18" xfId="0" applyNumberFormat="1" applyFont="1" applyBorder="1" applyAlignment="1">
      <alignment vertical="center" wrapText="1"/>
    </xf>
    <xf numFmtId="166" fontId="37" fillId="0" borderId="61" xfId="36" applyNumberFormat="1" applyFont="1" applyBorder="1" applyAlignment="1">
      <alignment horizontal="right" vertical="center"/>
    </xf>
    <xf numFmtId="166" fontId="37" fillId="0" borderId="61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>
      <alignment horizontal="right" vertical="center"/>
    </xf>
    <xf numFmtId="166" fontId="37" fillId="0" borderId="56" xfId="36" applyNumberFormat="1" applyFont="1" applyBorder="1" applyAlignment="1" applyProtection="1">
      <alignment horizontal="right" vertical="center" wrapText="1"/>
      <protection locked="0"/>
    </xf>
    <xf numFmtId="3" fontId="66" fillId="0" borderId="40" xfId="50" applyNumberFormat="1" applyFont="1" applyBorder="1" applyAlignment="1">
      <alignment horizontal="center" vertical="center" wrapText="1"/>
    </xf>
    <xf numFmtId="3" fontId="66" fillId="0" borderId="1" xfId="50" applyNumberFormat="1" applyFont="1" applyBorder="1" applyAlignment="1" applyProtection="1">
      <alignment horizontal="center" vertical="center" wrapText="1"/>
      <protection locked="0"/>
    </xf>
    <xf numFmtId="166" fontId="66" fillId="0" borderId="22" xfId="21" applyNumberFormat="1" applyFont="1" applyBorder="1" applyAlignment="1">
      <alignment horizontal="right" vertical="center" wrapText="1" indent="1"/>
    </xf>
    <xf numFmtId="166" fontId="66" fillId="0" borderId="20" xfId="21" applyNumberFormat="1" applyFont="1" applyBorder="1" applyAlignment="1">
      <alignment horizontal="center" vertical="center" wrapText="1"/>
    </xf>
    <xf numFmtId="166" fontId="66" fillId="0" borderId="23" xfId="21" applyNumberFormat="1" applyFont="1" applyBorder="1" applyAlignment="1">
      <alignment horizontal="right" vertical="center" wrapText="1" indent="1"/>
    </xf>
    <xf numFmtId="166" fontId="125" fillId="0" borderId="9" xfId="0" applyNumberFormat="1" applyFont="1" applyBorder="1" applyAlignment="1" applyProtection="1">
      <alignment horizontal="right" vertical="center" wrapText="1"/>
      <protection locked="0"/>
    </xf>
    <xf numFmtId="49" fontId="106" fillId="0" borderId="3" xfId="0" applyNumberFormat="1" applyFont="1" applyBorder="1" applyAlignment="1" applyProtection="1">
      <alignment horizontal="center" vertical="center" wrapText="1"/>
      <protection locked="0"/>
    </xf>
    <xf numFmtId="166" fontId="106" fillId="0" borderId="3" xfId="0" applyNumberFormat="1" applyFont="1" applyBorder="1" applyAlignment="1" applyProtection="1">
      <alignment horizontal="right" vertical="center" wrapText="1"/>
      <protection locked="0"/>
    </xf>
    <xf numFmtId="166" fontId="125" fillId="0" borderId="3" xfId="0" applyNumberFormat="1" applyFont="1" applyBorder="1" applyAlignment="1" applyProtection="1">
      <alignment horizontal="right" vertical="center" wrapText="1"/>
      <protection locked="0"/>
    </xf>
    <xf numFmtId="166" fontId="9" fillId="0" borderId="7" xfId="28" applyNumberFormat="1" applyFont="1" applyBorder="1" applyAlignment="1" applyProtection="1">
      <alignment horizontal="right" vertical="center" wrapText="1"/>
      <protection locked="0"/>
    </xf>
    <xf numFmtId="166" fontId="67" fillId="0" borderId="1" xfId="0" applyNumberFormat="1" applyFont="1" applyBorder="1" applyAlignment="1" applyProtection="1">
      <alignment horizontal="right" vertical="center" wrapText="1"/>
      <protection locked="0"/>
    </xf>
    <xf numFmtId="166" fontId="0" fillId="0" borderId="1" xfId="0" applyNumberFormat="1" applyBorder="1" applyAlignment="1" applyProtection="1">
      <alignment horizontal="right" vertical="center" wrapText="1"/>
      <protection locked="0"/>
    </xf>
    <xf numFmtId="166" fontId="67" fillId="0" borderId="20" xfId="0" applyNumberFormat="1" applyFont="1" applyBorder="1" applyAlignment="1">
      <alignment vertical="center" wrapText="1"/>
    </xf>
    <xf numFmtId="166" fontId="67" fillId="0" borderId="2" xfId="0" applyNumberFormat="1" applyFont="1" applyBorder="1" applyAlignment="1" applyProtection="1">
      <alignment horizontal="right" vertical="center" wrapText="1"/>
      <protection locked="0"/>
    </xf>
    <xf numFmtId="0" fontId="106" fillId="0" borderId="75" xfId="0" applyFont="1" applyBorder="1" applyAlignment="1">
      <alignment vertical="center" wrapText="1"/>
    </xf>
    <xf numFmtId="0" fontId="68" fillId="0" borderId="11" xfId="24" applyFont="1" applyBorder="1" applyAlignment="1">
      <alignment horizontal="left"/>
    </xf>
    <xf numFmtId="3" fontId="36" fillId="0" borderId="4" xfId="26" quotePrefix="1" applyNumberFormat="1" applyFont="1" applyBorder="1" applyAlignment="1">
      <alignment horizontal="right"/>
    </xf>
    <xf numFmtId="3" fontId="36" fillId="0" borderId="4" xfId="25" applyNumberFormat="1" applyFont="1" applyBorder="1" applyAlignment="1">
      <alignment horizontal="right"/>
    </xf>
    <xf numFmtId="3" fontId="69" fillId="0" borderId="4" xfId="25" applyNumberFormat="1" applyFont="1" applyBorder="1" applyAlignment="1">
      <alignment horizontal="right"/>
    </xf>
    <xf numFmtId="3" fontId="36" fillId="0" borderId="4" xfId="26" applyNumberFormat="1" applyFont="1" applyBorder="1" applyAlignment="1">
      <alignment horizontal="right"/>
    </xf>
    <xf numFmtId="3" fontId="68" fillId="0" borderId="4" xfId="26" applyNumberFormat="1" applyFont="1" applyBorder="1" applyAlignment="1">
      <alignment horizontal="right"/>
    </xf>
    <xf numFmtId="3" fontId="27" fillId="0" borderId="17" xfId="25" applyNumberFormat="1" applyFont="1" applyBorder="1" applyAlignment="1">
      <alignment horizontal="right"/>
    </xf>
    <xf numFmtId="3" fontId="73" fillId="0" borderId="22" xfId="26" applyNumberFormat="1" applyFont="1" applyBorder="1" applyAlignment="1">
      <alignment horizontal="right"/>
    </xf>
    <xf numFmtId="3" fontId="94" fillId="0" borderId="0" xfId="25" applyNumberFormat="1" applyFont="1" applyAlignment="1">
      <alignment horizontal="right"/>
    </xf>
    <xf numFmtId="0" fontId="126" fillId="0" borderId="0" xfId="20" applyFont="1" applyAlignment="1">
      <alignment horizontal="right"/>
    </xf>
    <xf numFmtId="167" fontId="50" fillId="0" borderId="0" xfId="20" applyNumberFormat="1"/>
    <xf numFmtId="170" fontId="113" fillId="0" borderId="40" xfId="53" applyNumberFormat="1" applyFont="1" applyFill="1" applyBorder="1" applyAlignment="1">
      <alignment horizontal="right" vertical="center"/>
    </xf>
    <xf numFmtId="170" fontId="113" fillId="0" borderId="23" xfId="18" applyNumberFormat="1" applyFont="1" applyBorder="1" applyAlignment="1">
      <alignment horizontal="right" vertical="center"/>
    </xf>
    <xf numFmtId="170" fontId="113" fillId="0" borderId="26" xfId="18" applyNumberFormat="1" applyFont="1" applyBorder="1" applyAlignment="1">
      <alignment horizontal="right" vertical="center"/>
    </xf>
    <xf numFmtId="170" fontId="113" fillId="0" borderId="23" xfId="53" applyNumberFormat="1" applyFont="1" applyFill="1" applyBorder="1" applyAlignment="1">
      <alignment horizontal="right" vertical="center"/>
    </xf>
    <xf numFmtId="170" fontId="74" fillId="0" borderId="46" xfId="19" applyNumberFormat="1" applyFont="1" applyBorder="1"/>
    <xf numFmtId="166" fontId="67" fillId="0" borderId="8" xfId="28" applyNumberFormat="1" applyFont="1" applyBorder="1" applyAlignment="1" applyProtection="1">
      <alignment horizontal="right" vertical="center" wrapText="1"/>
      <protection locked="0"/>
    </xf>
    <xf numFmtId="166" fontId="74" fillId="0" borderId="56" xfId="36" applyNumberFormat="1" applyFont="1" applyBorder="1" applyAlignment="1" applyProtection="1">
      <alignment horizontal="right" vertical="center" wrapText="1"/>
      <protection locked="0"/>
    </xf>
    <xf numFmtId="170" fontId="74" fillId="0" borderId="10" xfId="19" applyNumberFormat="1" applyFont="1" applyBorder="1"/>
    <xf numFmtId="166" fontId="66" fillId="0" borderId="23" xfId="0" applyNumberFormat="1" applyFont="1" applyBorder="1" applyAlignment="1" applyProtection="1">
      <alignment horizontal="right" vertical="center" wrapText="1" indent="1"/>
      <protection locked="0"/>
    </xf>
    <xf numFmtId="3" fontId="66" fillId="0" borderId="2" xfId="25" applyNumberFormat="1" applyFont="1" applyBorder="1" applyAlignment="1">
      <alignment horizontal="right"/>
    </xf>
    <xf numFmtId="3" fontId="66" fillId="0" borderId="2" xfId="26" quotePrefix="1" applyNumberFormat="1" applyFont="1" applyFill="1" applyBorder="1" applyAlignment="1">
      <alignment horizontal="right"/>
    </xf>
    <xf numFmtId="3" fontId="36" fillId="0" borderId="0" xfId="0" applyNumberFormat="1" applyFont="1" applyAlignment="1">
      <alignment horizontal="right" vertical="center" wrapText="1"/>
    </xf>
    <xf numFmtId="3" fontId="36" fillId="0" borderId="20" xfId="0" applyNumberFormat="1" applyFont="1" applyBorder="1" applyAlignment="1">
      <alignment horizontal="right" vertical="center" wrapText="1"/>
    </xf>
    <xf numFmtId="3" fontId="36" fillId="0" borderId="18" xfId="0" applyNumberFormat="1" applyFont="1" applyBorder="1" applyAlignment="1">
      <alignment horizontal="right" vertical="center" wrapText="1"/>
    </xf>
    <xf numFmtId="3" fontId="36" fillId="0" borderId="23" xfId="0" applyNumberFormat="1" applyFont="1" applyBorder="1" applyAlignment="1">
      <alignment horizontal="right" vertical="center" wrapText="1"/>
    </xf>
    <xf numFmtId="3" fontId="36" fillId="0" borderId="27" xfId="0" applyNumberFormat="1" applyFont="1" applyBorder="1" applyAlignment="1">
      <alignment horizontal="right" vertical="center" wrapText="1"/>
    </xf>
    <xf numFmtId="3" fontId="36" fillId="0" borderId="0" xfId="0" applyNumberFormat="1" applyFont="1" applyAlignment="1">
      <alignment horizontal="center" vertical="center" wrapText="1"/>
    </xf>
    <xf numFmtId="171" fontId="36" fillId="0" borderId="27" xfId="0" applyNumberFormat="1" applyFont="1" applyBorder="1" applyAlignment="1">
      <alignment horizontal="right" vertical="center" wrapText="1"/>
    </xf>
    <xf numFmtId="166" fontId="36" fillId="0" borderId="27" xfId="21" applyNumberFormat="1" applyFont="1" applyBorder="1" applyAlignment="1">
      <alignment horizontal="center" vertical="center" wrapText="1"/>
    </xf>
    <xf numFmtId="166" fontId="66" fillId="0" borderId="17" xfId="21" applyNumberFormat="1" applyFont="1" applyBorder="1" applyAlignment="1">
      <alignment horizontal="right" vertical="center" wrapText="1" indent="1"/>
    </xf>
    <xf numFmtId="3" fontId="35" fillId="0" borderId="0" xfId="21" applyNumberFormat="1" applyFont="1"/>
    <xf numFmtId="166" fontId="66" fillId="0" borderId="20" xfId="21" applyNumberFormat="1" applyFont="1" applyBorder="1" applyAlignment="1" applyProtection="1">
      <alignment horizontal="right" vertical="center" wrapText="1" indent="1"/>
      <protection locked="0"/>
    </xf>
    <xf numFmtId="167" fontId="36" fillId="0" borderId="23" xfId="26" applyNumberFormat="1" applyFont="1" applyFill="1" applyBorder="1" applyProtection="1">
      <protection locked="0"/>
    </xf>
    <xf numFmtId="166" fontId="106" fillId="0" borderId="11" xfId="0" applyNumberFormat="1" applyFont="1" applyBorder="1" applyAlignment="1" applyProtection="1">
      <alignment horizontal="right" vertical="center" wrapText="1"/>
      <protection locked="0"/>
    </xf>
    <xf numFmtId="166" fontId="106" fillId="0" borderId="9" xfId="0" applyNumberFormat="1" applyFont="1" applyBorder="1" applyAlignment="1" applyProtection="1">
      <alignment horizontal="right" vertical="center" wrapText="1"/>
      <protection locked="0"/>
    </xf>
    <xf numFmtId="166" fontId="67" fillId="0" borderId="9" xfId="28" applyNumberFormat="1" applyFont="1" applyBorder="1" applyAlignment="1" applyProtection="1">
      <alignment horizontal="right" vertical="center" wrapText="1"/>
      <protection locked="0"/>
    </xf>
    <xf numFmtId="166" fontId="6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50" xfId="21" applyNumberFormat="1" applyFont="1" applyBorder="1" applyAlignment="1">
      <alignment horizontal="right" vertical="center" wrapText="1" indent="1"/>
    </xf>
    <xf numFmtId="166" fontId="6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9" xfId="0" applyNumberFormat="1" applyFont="1" applyBorder="1" applyAlignment="1" applyProtection="1">
      <alignment horizontal="right" vertical="center" wrapText="1" indent="1"/>
      <protection locked="0"/>
    </xf>
    <xf numFmtId="0" fontId="127" fillId="0" borderId="11" xfId="20" quotePrefix="1" applyFont="1" applyBorder="1"/>
    <xf numFmtId="167" fontId="127" fillId="0" borderId="17" xfId="26" applyNumberFormat="1" applyFont="1" applyFill="1" applyBorder="1" applyAlignment="1"/>
    <xf numFmtId="166" fontId="66" fillId="0" borderId="1" xfId="23" applyNumberFormat="1" applyFont="1" applyBorder="1" applyAlignment="1" applyProtection="1">
      <alignment vertical="center"/>
      <protection locked="0"/>
    </xf>
    <xf numFmtId="166" fontId="35" fillId="0" borderId="2" xfId="23" applyNumberFormat="1" applyFont="1" applyBorder="1" applyAlignment="1" applyProtection="1">
      <alignment vertical="center"/>
      <protection locked="0"/>
    </xf>
    <xf numFmtId="166" fontId="66" fillId="0" borderId="2" xfId="23" applyNumberFormat="1" applyFont="1" applyBorder="1" applyAlignment="1" applyProtection="1">
      <alignment vertical="center"/>
      <protection locked="0"/>
    </xf>
    <xf numFmtId="166" fontId="66" fillId="0" borderId="4" xfId="23" applyNumberFormat="1" applyFont="1" applyBorder="1" applyAlignment="1" applyProtection="1">
      <alignment vertical="center"/>
      <protection locked="0"/>
    </xf>
    <xf numFmtId="170" fontId="123" fillId="8" borderId="18" xfId="53" applyNumberFormat="1" applyFont="1" applyFill="1" applyBorder="1" applyAlignment="1">
      <alignment horizontal="right" vertical="center"/>
    </xf>
    <xf numFmtId="170" fontId="123" fillId="0" borderId="19" xfId="53" applyNumberFormat="1" applyFont="1" applyFill="1" applyBorder="1" applyAlignment="1">
      <alignment horizontal="right" vertical="center"/>
    </xf>
    <xf numFmtId="170" fontId="123" fillId="0" borderId="20" xfId="18" applyNumberFormat="1" applyFont="1" applyBorder="1" applyAlignment="1">
      <alignment horizontal="right" vertical="center"/>
    </xf>
    <xf numFmtId="170" fontId="74" fillId="0" borderId="9" xfId="19" applyNumberFormat="1" applyFont="1" applyBorder="1"/>
    <xf numFmtId="170" fontId="74" fillId="0" borderId="12" xfId="19" applyNumberFormat="1" applyFont="1" applyBorder="1"/>
    <xf numFmtId="170" fontId="74" fillId="0" borderId="7" xfId="19" applyNumberFormat="1" applyFont="1" applyBorder="1"/>
    <xf numFmtId="170" fontId="74" fillId="0" borderId="1" xfId="19" applyNumberFormat="1" applyFont="1" applyBorder="1"/>
    <xf numFmtId="167" fontId="108" fillId="0" borderId="52" xfId="26" applyNumberFormat="1" applyFont="1" applyBorder="1"/>
    <xf numFmtId="166" fontId="9" fillId="0" borderId="11" xfId="28" applyNumberFormat="1" applyFont="1" applyBorder="1" applyAlignment="1" applyProtection="1">
      <alignment vertical="center" wrapText="1"/>
      <protection locked="0"/>
    </xf>
    <xf numFmtId="166" fontId="67" fillId="0" borderId="47" xfId="28" applyNumberFormat="1" applyFont="1" applyBorder="1" applyAlignment="1" applyProtection="1">
      <alignment horizontal="left" vertical="center" wrapText="1"/>
      <protection locked="0"/>
    </xf>
    <xf numFmtId="166" fontId="0" fillId="0" borderId="30" xfId="28" applyNumberFormat="1" applyFont="1" applyBorder="1" applyAlignment="1" applyProtection="1">
      <alignment horizontal="left" vertical="center" wrapText="1"/>
      <protection locked="0"/>
    </xf>
    <xf numFmtId="0" fontId="106" fillId="0" borderId="75" xfId="0" quotePrefix="1" applyFont="1" applyBorder="1" applyAlignment="1">
      <alignment vertical="center"/>
    </xf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31" fillId="0" borderId="0" xfId="21" applyFont="1" applyAlignment="1">
      <alignment horizontal="center"/>
    </xf>
    <xf numFmtId="0" fontId="31" fillId="0" borderId="0" xfId="0" applyFont="1" applyAlignment="1" applyProtection="1">
      <alignment horizontal="center"/>
      <protection locked="0"/>
    </xf>
    <xf numFmtId="0" fontId="9" fillId="0" borderId="0" xfId="21" applyFont="1" applyAlignment="1">
      <alignment horizontal="right"/>
    </xf>
    <xf numFmtId="166" fontId="42" fillId="0" borderId="24" xfId="21" applyNumberFormat="1" applyFont="1" applyBorder="1" applyAlignment="1">
      <alignment horizontal="left" vertical="center"/>
    </xf>
    <xf numFmtId="166" fontId="15" fillId="0" borderId="0" xfId="21" applyNumberFormat="1" applyFont="1" applyAlignment="1">
      <alignment horizontal="center" vertical="center"/>
    </xf>
    <xf numFmtId="166" fontId="42" fillId="0" borderId="24" xfId="21" applyNumberFormat="1" applyFont="1" applyBorder="1" applyAlignment="1">
      <alignment horizontal="left"/>
    </xf>
    <xf numFmtId="166" fontId="37" fillId="0" borderId="24" xfId="2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textRotation="180" wrapText="1"/>
    </xf>
    <xf numFmtId="166" fontId="37" fillId="0" borderId="61" xfId="0" applyNumberFormat="1" applyFont="1" applyBorder="1" applyAlignment="1">
      <alignment horizontal="center" vertical="center" wrapText="1"/>
    </xf>
    <xf numFmtId="166" fontId="37" fillId="0" borderId="59" xfId="0" applyNumberFormat="1" applyFont="1" applyBorder="1" applyAlignment="1">
      <alignment horizontal="center" vertical="center" wrapText="1"/>
    </xf>
    <xf numFmtId="166" fontId="48" fillId="0" borderId="51" xfId="0" applyNumberFormat="1" applyFont="1" applyBorder="1" applyAlignment="1">
      <alignment horizontal="center" vertical="center" wrapText="1"/>
    </xf>
    <xf numFmtId="166" fontId="31" fillId="0" borderId="24" xfId="0" applyNumberFormat="1" applyFont="1" applyBorder="1" applyAlignment="1">
      <alignment horizontal="center" vertical="center" wrapText="1"/>
    </xf>
    <xf numFmtId="166" fontId="15" fillId="0" borderId="24" xfId="0" applyNumberFormat="1" applyFont="1" applyBorder="1" applyAlignment="1">
      <alignment horizontal="center" vertical="center" wrapText="1"/>
    </xf>
    <xf numFmtId="0" fontId="23" fillId="0" borderId="0" xfId="21" applyFont="1" applyAlignment="1">
      <alignment horizontal="right"/>
    </xf>
    <xf numFmtId="166" fontId="13" fillId="0" borderId="0" xfId="21" applyNumberFormat="1" applyFont="1" applyAlignment="1">
      <alignment horizontal="center" vertical="center" wrapText="1"/>
    </xf>
    <xf numFmtId="0" fontId="19" fillId="0" borderId="0" xfId="48" applyFont="1" applyAlignment="1">
      <alignment horizontal="right"/>
    </xf>
    <xf numFmtId="0" fontId="28" fillId="0" borderId="0" xfId="48" applyFont="1" applyAlignment="1">
      <alignment horizontal="right"/>
    </xf>
    <xf numFmtId="0" fontId="38" fillId="0" borderId="11" xfId="2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 wrapText="1"/>
    </xf>
    <xf numFmtId="0" fontId="38" fillId="0" borderId="4" xfId="21" applyFont="1" applyBorder="1" applyAlignment="1">
      <alignment horizontal="center" vertical="center" wrapText="1"/>
    </xf>
    <xf numFmtId="0" fontId="38" fillId="0" borderId="6" xfId="21" applyFont="1" applyBorder="1" applyAlignment="1">
      <alignment horizontal="center" vertical="center" wrapText="1"/>
    </xf>
    <xf numFmtId="0" fontId="38" fillId="0" borderId="17" xfId="21" applyFont="1" applyBorder="1" applyAlignment="1">
      <alignment horizontal="center" vertical="center" wrapText="1"/>
    </xf>
    <xf numFmtId="0" fontId="38" fillId="0" borderId="23" xfId="21" applyFont="1" applyBorder="1" applyAlignment="1">
      <alignment horizontal="center" vertical="center" wrapText="1"/>
    </xf>
    <xf numFmtId="0" fontId="37" fillId="0" borderId="39" xfId="21" applyFont="1" applyBorder="1" applyAlignment="1">
      <alignment horizontal="left"/>
    </xf>
    <xf numFmtId="0" fontId="37" fillId="0" borderId="25" xfId="21" applyFont="1" applyBorder="1" applyAlignment="1">
      <alignment horizontal="left"/>
    </xf>
    <xf numFmtId="0" fontId="29" fillId="0" borderId="51" xfId="21" applyFont="1" applyBorder="1" applyAlignment="1">
      <alignment horizontal="justify" vertical="center" wrapText="1"/>
    </xf>
    <xf numFmtId="166" fontId="70" fillId="0" borderId="0" xfId="0" applyNumberFormat="1" applyFont="1" applyAlignment="1">
      <alignment horizontal="right" vertical="center" wrapText="1"/>
    </xf>
    <xf numFmtId="166" fontId="83" fillId="0" borderId="0" xfId="0" applyNumberFormat="1" applyFont="1" applyAlignment="1">
      <alignment horizontal="center" vertical="center" wrapText="1"/>
    </xf>
    <xf numFmtId="166" fontId="20" fillId="0" borderId="0" xfId="0" applyNumberFormat="1" applyFont="1" applyAlignment="1">
      <alignment horizontal="right" vertical="center" wrapText="1"/>
    </xf>
    <xf numFmtId="166" fontId="31" fillId="0" borderId="0" xfId="0" applyNumberFormat="1" applyFont="1" applyAlignment="1">
      <alignment horizontal="center" vertical="center" wrapText="1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20" fillId="0" borderId="59" xfId="0" applyFont="1" applyBorder="1" applyAlignment="1">
      <alignment horizontal="center" vertical="center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21" fillId="0" borderId="59" xfId="0" applyFont="1" applyBorder="1" applyAlignment="1">
      <alignment horizontal="center" vertical="center" wrapText="1"/>
    </xf>
    <xf numFmtId="0" fontId="121" fillId="0" borderId="59" xfId="0" applyFont="1" applyBorder="1" applyAlignment="1">
      <alignment horizontal="center" vertical="center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right"/>
    </xf>
    <xf numFmtId="166" fontId="41" fillId="0" borderId="0" xfId="36" applyNumberFormat="1" applyFont="1" applyAlignment="1" applyProtection="1">
      <alignment horizontal="center" vertical="center"/>
      <protection locked="0"/>
    </xf>
    <xf numFmtId="169" fontId="118" fillId="0" borderId="51" xfId="36" applyNumberFormat="1" applyFont="1" applyBorder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right" vertical="center" wrapText="1"/>
    </xf>
    <xf numFmtId="0" fontId="12" fillId="0" borderId="34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38" fillId="0" borderId="34" xfId="0" applyFont="1" applyBorder="1" applyAlignment="1">
      <alignment horizontal="left" vertical="center"/>
    </xf>
    <xf numFmtId="0" fontId="38" fillId="0" borderId="35" xfId="0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72" fillId="0" borderId="12" xfId="0" applyFont="1" applyBorder="1" applyAlignment="1">
      <alignment horizontal="left" vertical="center" wrapText="1"/>
    </xf>
    <xf numFmtId="0" fontId="72" fillId="0" borderId="21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70" fillId="0" borderId="39" xfId="0" applyFont="1" applyBorder="1" applyAlignment="1">
      <alignment horizontal="left" vertical="center" wrapText="1"/>
    </xf>
    <xf numFmtId="0" fontId="70" fillId="0" borderId="25" xfId="0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31" fillId="0" borderId="0" xfId="21" applyFont="1" applyAlignment="1">
      <alignment horizontal="center" wrapText="1"/>
    </xf>
    <xf numFmtId="166" fontId="16" fillId="0" borderId="34" xfId="50" applyNumberFormat="1" applyFont="1" applyBorder="1" applyAlignment="1">
      <alignment horizontal="left" vertical="center" wrapText="1" indent="2"/>
    </xf>
    <xf numFmtId="166" fontId="16" fillId="0" borderId="44" xfId="50" applyNumberFormat="1" applyFont="1" applyBorder="1" applyAlignment="1">
      <alignment horizontal="left" vertical="center" wrapText="1" indent="2"/>
    </xf>
    <xf numFmtId="166" fontId="0" fillId="0" borderId="0" xfId="0" applyNumberFormat="1" applyAlignment="1">
      <alignment horizontal="right" vertical="center" wrapText="1"/>
    </xf>
    <xf numFmtId="166" fontId="102" fillId="0" borderId="0" xfId="0" applyNumberFormat="1" applyFont="1" applyAlignment="1">
      <alignment horizontal="center" vertical="center" wrapText="1"/>
    </xf>
    <xf numFmtId="0" fontId="16" fillId="0" borderId="61" xfId="50" applyFont="1" applyBorder="1" applyAlignment="1">
      <alignment horizontal="center" vertical="center" wrapText="1"/>
    </xf>
    <xf numFmtId="0" fontId="16" fillId="0" borderId="59" xfId="50" applyFont="1" applyBorder="1" applyAlignment="1">
      <alignment horizontal="center" vertical="center" wrapText="1"/>
    </xf>
    <xf numFmtId="0" fontId="16" fillId="0" borderId="61" xfId="50" applyFont="1" applyBorder="1" applyAlignment="1">
      <alignment horizontal="center" vertical="center"/>
    </xf>
    <xf numFmtId="0" fontId="16" fillId="0" borderId="59" xfId="50" applyFont="1" applyBorder="1" applyAlignment="1">
      <alignment horizontal="center" vertical="center"/>
    </xf>
    <xf numFmtId="0" fontId="16" fillId="0" borderId="46" xfId="50" applyFont="1" applyBorder="1" applyAlignment="1">
      <alignment horizontal="center" vertical="center"/>
    </xf>
    <xf numFmtId="0" fontId="16" fillId="0" borderId="71" xfId="50" applyFont="1" applyBorder="1" applyAlignment="1">
      <alignment horizontal="center" vertical="center"/>
    </xf>
    <xf numFmtId="0" fontId="16" fillId="0" borderId="57" xfId="50" applyFont="1" applyBorder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36" fillId="0" borderId="51" xfId="0" applyFont="1" applyBorder="1" applyAlignment="1">
      <alignment horizontal="justify" vertical="center" wrapText="1"/>
    </xf>
    <xf numFmtId="0" fontId="9" fillId="0" borderId="0" xfId="23" applyFont="1" applyAlignment="1">
      <alignment horizontal="right"/>
    </xf>
    <xf numFmtId="0" fontId="102" fillId="0" borderId="0" xfId="23" applyFont="1" applyAlignment="1">
      <alignment horizontal="center" wrapText="1"/>
    </xf>
    <xf numFmtId="0" fontId="102" fillId="0" borderId="0" xfId="23" applyFont="1" applyAlignment="1">
      <alignment horizontal="center"/>
    </xf>
    <xf numFmtId="0" fontId="28" fillId="0" borderId="68" xfId="23" applyFont="1" applyBorder="1" applyAlignment="1">
      <alignment horizontal="center" vertical="center"/>
    </xf>
    <xf numFmtId="0" fontId="28" fillId="0" borderId="35" xfId="23" applyFont="1" applyBorder="1" applyAlignment="1">
      <alignment horizontal="center" vertical="center"/>
    </xf>
    <xf numFmtId="0" fontId="28" fillId="0" borderId="44" xfId="23" applyFont="1" applyBorder="1" applyAlignment="1">
      <alignment horizontal="center" vertical="center"/>
    </xf>
    <xf numFmtId="0" fontId="112" fillId="0" borderId="35" xfId="18" applyFont="1" applyBorder="1" applyAlignment="1">
      <alignment horizontal="right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Alignment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>
      <alignment horizontal="right"/>
    </xf>
    <xf numFmtId="0" fontId="37" fillId="0" borderId="34" xfId="0" applyFont="1" applyBorder="1" applyAlignment="1">
      <alignment horizontal="right" vertical="center"/>
    </xf>
    <xf numFmtId="0" fontId="37" fillId="0" borderId="44" xfId="0" applyFont="1" applyBorder="1" applyAlignment="1">
      <alignment horizontal="right" vertical="center"/>
    </xf>
    <xf numFmtId="0" fontId="106" fillId="0" borderId="0" xfId="19" applyFont="1" applyAlignment="1">
      <alignment horizontal="right"/>
    </xf>
    <xf numFmtId="3" fontId="0" fillId="0" borderId="0" xfId="21" applyNumberFormat="1" applyFont="1" applyAlignment="1">
      <alignment horizontal="right"/>
    </xf>
    <xf numFmtId="3" fontId="9" fillId="0" borderId="0" xfId="21" applyNumberFormat="1" applyFont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&#246;lts&#233;gvet&#233;si_Ad&#243;igazgat&#225;si\2022\M&#225;t&#233;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B9" sqref="B9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321" t="s">
        <v>664</v>
      </c>
      <c r="B1" s="1321"/>
      <c r="C1" s="1321"/>
      <c r="D1" s="1321"/>
      <c r="E1" s="1321"/>
      <c r="F1" s="1321"/>
      <c r="G1" s="1321"/>
      <c r="H1" s="1321"/>
      <c r="I1" s="1321"/>
      <c r="J1" s="1321"/>
    </row>
    <row r="2" spans="1:10" x14ac:dyDescent="0.2">
      <c r="A2" s="602">
        <v>2022</v>
      </c>
      <c r="B2" s="602" t="s">
        <v>665</v>
      </c>
    </row>
    <row r="3" spans="1:10" ht="15.75" x14ac:dyDescent="0.25">
      <c r="A3" s="1322" t="s">
        <v>672</v>
      </c>
      <c r="B3" s="1322"/>
      <c r="C3" s="1322"/>
      <c r="D3" s="1322"/>
      <c r="E3" s="1322"/>
      <c r="F3" s="1322"/>
      <c r="G3" s="1322"/>
      <c r="H3" s="1322"/>
    </row>
    <row r="6" spans="1:10" ht="15" x14ac:dyDescent="0.25">
      <c r="A6" s="598" t="s">
        <v>666</v>
      </c>
    </row>
    <row r="7" spans="1:10" x14ac:dyDescent="0.2">
      <c r="A7" s="599" t="s">
        <v>1077</v>
      </c>
      <c r="B7" s="600">
        <v>5</v>
      </c>
      <c r="C7" s="597" t="s">
        <v>667</v>
      </c>
      <c r="D7" s="597" t="s">
        <v>939</v>
      </c>
      <c r="E7" s="597" t="s">
        <v>668</v>
      </c>
      <c r="F7" s="600" t="s">
        <v>1076</v>
      </c>
      <c r="G7" s="597" t="s">
        <v>669</v>
      </c>
      <c r="H7" s="597" t="s">
        <v>733</v>
      </c>
      <c r="I7" s="597"/>
      <c r="J7" s="597"/>
    </row>
    <row r="8" spans="1:10" x14ac:dyDescent="0.2">
      <c r="D8" t="s">
        <v>1075</v>
      </c>
    </row>
    <row r="11" spans="1:10" ht="14.25" x14ac:dyDescent="0.2">
      <c r="A11" s="601" t="s">
        <v>670</v>
      </c>
      <c r="B11" s="1323" t="s">
        <v>671</v>
      </c>
      <c r="C11" s="1323"/>
      <c r="D11" s="1323"/>
      <c r="E11" s="1323"/>
      <c r="F11" s="1323"/>
      <c r="G11" s="1323"/>
      <c r="H11" s="1323"/>
      <c r="I11" s="597"/>
      <c r="J11" s="597"/>
    </row>
    <row r="12" spans="1:10" ht="14.25" x14ac:dyDescent="0.2">
      <c r="A12" s="601" t="s">
        <v>673</v>
      </c>
    </row>
    <row r="13" spans="1:10" ht="14.25" x14ac:dyDescent="0.2">
      <c r="A13" s="601" t="s">
        <v>674</v>
      </c>
    </row>
    <row r="14" spans="1:10" ht="14.25" x14ac:dyDescent="0.2">
      <c r="A14" s="601" t="s">
        <v>675</v>
      </c>
    </row>
    <row r="15" spans="1:10" ht="14.25" x14ac:dyDescent="0.2">
      <c r="A15" s="601" t="s">
        <v>670</v>
      </c>
    </row>
    <row r="16" spans="1:10" ht="14.25" x14ac:dyDescent="0.2">
      <c r="A16" s="601" t="s">
        <v>670</v>
      </c>
    </row>
    <row r="17" spans="1:1" ht="14.25" x14ac:dyDescent="0.2">
      <c r="A17" s="601" t="s">
        <v>670</v>
      </c>
    </row>
    <row r="18" spans="1:1" ht="14.25" x14ac:dyDescent="0.2">
      <c r="A18" s="601" t="s">
        <v>670</v>
      </c>
    </row>
    <row r="19" spans="1:1" ht="14.25" x14ac:dyDescent="0.2">
      <c r="A19" s="601" t="s">
        <v>670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7"/>
  <sheetViews>
    <sheetView zoomScale="130" zoomScaleNormal="130" zoomScaleSheetLayoutView="85" workbookViewId="0">
      <selection activeCell="F35" sqref="F35"/>
    </sheetView>
  </sheetViews>
  <sheetFormatPr defaultRowHeight="15" x14ac:dyDescent="0.25"/>
  <cols>
    <col min="1" max="1" width="5.6640625" style="547" customWidth="1"/>
    <col min="2" max="2" width="41.1640625" style="547" customWidth="1"/>
    <col min="3" max="3" width="17.6640625" style="547" customWidth="1"/>
    <col min="4" max="7" width="14" style="547" customWidth="1"/>
    <col min="8" max="8" width="16.6640625" style="547" customWidth="1"/>
    <col min="9" max="256" width="9.33203125" style="547"/>
    <col min="257" max="257" width="5.6640625" style="547" customWidth="1"/>
    <col min="258" max="258" width="41.1640625" style="547" customWidth="1"/>
    <col min="259" max="259" width="17.6640625" style="547" customWidth="1"/>
    <col min="260" max="263" width="14" style="547" customWidth="1"/>
    <col min="264" max="264" width="16.6640625" style="547" customWidth="1"/>
    <col min="265" max="512" width="9.33203125" style="547"/>
    <col min="513" max="513" width="5.6640625" style="547" customWidth="1"/>
    <col min="514" max="514" width="41.1640625" style="547" customWidth="1"/>
    <col min="515" max="515" width="17.6640625" style="547" customWidth="1"/>
    <col min="516" max="519" width="14" style="547" customWidth="1"/>
    <col min="520" max="520" width="16.6640625" style="547" customWidth="1"/>
    <col min="521" max="768" width="9.33203125" style="547"/>
    <col min="769" max="769" width="5.6640625" style="547" customWidth="1"/>
    <col min="770" max="770" width="41.1640625" style="547" customWidth="1"/>
    <col min="771" max="771" width="17.6640625" style="547" customWidth="1"/>
    <col min="772" max="775" width="14" style="547" customWidth="1"/>
    <col min="776" max="776" width="16.6640625" style="547" customWidth="1"/>
    <col min="777" max="1024" width="9.33203125" style="547"/>
    <col min="1025" max="1025" width="5.6640625" style="547" customWidth="1"/>
    <col min="1026" max="1026" width="41.1640625" style="547" customWidth="1"/>
    <col min="1027" max="1027" width="17.6640625" style="547" customWidth="1"/>
    <col min="1028" max="1031" width="14" style="547" customWidth="1"/>
    <col min="1032" max="1032" width="16.6640625" style="547" customWidth="1"/>
    <col min="1033" max="1280" width="9.33203125" style="547"/>
    <col min="1281" max="1281" width="5.6640625" style="547" customWidth="1"/>
    <col min="1282" max="1282" width="41.1640625" style="547" customWidth="1"/>
    <col min="1283" max="1283" width="17.6640625" style="547" customWidth="1"/>
    <col min="1284" max="1287" width="14" style="547" customWidth="1"/>
    <col min="1288" max="1288" width="16.6640625" style="547" customWidth="1"/>
    <col min="1289" max="1536" width="9.33203125" style="547"/>
    <col min="1537" max="1537" width="5.6640625" style="547" customWidth="1"/>
    <col min="1538" max="1538" width="41.1640625" style="547" customWidth="1"/>
    <col min="1539" max="1539" width="17.6640625" style="547" customWidth="1"/>
    <col min="1540" max="1543" width="14" style="547" customWidth="1"/>
    <col min="1544" max="1544" width="16.6640625" style="547" customWidth="1"/>
    <col min="1545" max="1792" width="9.33203125" style="547"/>
    <col min="1793" max="1793" width="5.6640625" style="547" customWidth="1"/>
    <col min="1794" max="1794" width="41.1640625" style="547" customWidth="1"/>
    <col min="1795" max="1795" width="17.6640625" style="547" customWidth="1"/>
    <col min="1796" max="1799" width="14" style="547" customWidth="1"/>
    <col min="1800" max="1800" width="16.6640625" style="547" customWidth="1"/>
    <col min="1801" max="2048" width="9.33203125" style="547"/>
    <col min="2049" max="2049" width="5.6640625" style="547" customWidth="1"/>
    <col min="2050" max="2050" width="41.1640625" style="547" customWidth="1"/>
    <col min="2051" max="2051" width="17.6640625" style="547" customWidth="1"/>
    <col min="2052" max="2055" width="14" style="547" customWidth="1"/>
    <col min="2056" max="2056" width="16.6640625" style="547" customWidth="1"/>
    <col min="2057" max="2304" width="9.33203125" style="547"/>
    <col min="2305" max="2305" width="5.6640625" style="547" customWidth="1"/>
    <col min="2306" max="2306" width="41.1640625" style="547" customWidth="1"/>
    <col min="2307" max="2307" width="17.6640625" style="547" customWidth="1"/>
    <col min="2308" max="2311" width="14" style="547" customWidth="1"/>
    <col min="2312" max="2312" width="16.6640625" style="547" customWidth="1"/>
    <col min="2313" max="2560" width="9.33203125" style="547"/>
    <col min="2561" max="2561" width="5.6640625" style="547" customWidth="1"/>
    <col min="2562" max="2562" width="41.1640625" style="547" customWidth="1"/>
    <col min="2563" max="2563" width="17.6640625" style="547" customWidth="1"/>
    <col min="2564" max="2567" width="14" style="547" customWidth="1"/>
    <col min="2568" max="2568" width="16.6640625" style="547" customWidth="1"/>
    <col min="2569" max="2816" width="9.33203125" style="547"/>
    <col min="2817" max="2817" width="5.6640625" style="547" customWidth="1"/>
    <col min="2818" max="2818" width="41.1640625" style="547" customWidth="1"/>
    <col min="2819" max="2819" width="17.6640625" style="547" customWidth="1"/>
    <col min="2820" max="2823" width="14" style="547" customWidth="1"/>
    <col min="2824" max="2824" width="16.6640625" style="547" customWidth="1"/>
    <col min="2825" max="3072" width="9.33203125" style="547"/>
    <col min="3073" max="3073" width="5.6640625" style="547" customWidth="1"/>
    <col min="3074" max="3074" width="41.1640625" style="547" customWidth="1"/>
    <col min="3075" max="3075" width="17.6640625" style="547" customWidth="1"/>
    <col min="3076" max="3079" width="14" style="547" customWidth="1"/>
    <col min="3080" max="3080" width="16.6640625" style="547" customWidth="1"/>
    <col min="3081" max="3328" width="9.33203125" style="547"/>
    <col min="3329" max="3329" width="5.6640625" style="547" customWidth="1"/>
    <col min="3330" max="3330" width="41.1640625" style="547" customWidth="1"/>
    <col min="3331" max="3331" width="17.6640625" style="547" customWidth="1"/>
    <col min="3332" max="3335" width="14" style="547" customWidth="1"/>
    <col min="3336" max="3336" width="16.6640625" style="547" customWidth="1"/>
    <col min="3337" max="3584" width="9.33203125" style="547"/>
    <col min="3585" max="3585" width="5.6640625" style="547" customWidth="1"/>
    <col min="3586" max="3586" width="41.1640625" style="547" customWidth="1"/>
    <col min="3587" max="3587" width="17.6640625" style="547" customWidth="1"/>
    <col min="3588" max="3591" width="14" style="547" customWidth="1"/>
    <col min="3592" max="3592" width="16.6640625" style="547" customWidth="1"/>
    <col min="3593" max="3840" width="9.33203125" style="547"/>
    <col min="3841" max="3841" width="5.6640625" style="547" customWidth="1"/>
    <col min="3842" max="3842" width="41.1640625" style="547" customWidth="1"/>
    <col min="3843" max="3843" width="17.6640625" style="547" customWidth="1"/>
    <col min="3844" max="3847" width="14" style="547" customWidth="1"/>
    <col min="3848" max="3848" width="16.6640625" style="547" customWidth="1"/>
    <col min="3849" max="4096" width="9.33203125" style="547"/>
    <col min="4097" max="4097" width="5.6640625" style="547" customWidth="1"/>
    <col min="4098" max="4098" width="41.1640625" style="547" customWidth="1"/>
    <col min="4099" max="4099" width="17.6640625" style="547" customWidth="1"/>
    <col min="4100" max="4103" width="14" style="547" customWidth="1"/>
    <col min="4104" max="4104" width="16.6640625" style="547" customWidth="1"/>
    <col min="4105" max="4352" width="9.33203125" style="547"/>
    <col min="4353" max="4353" width="5.6640625" style="547" customWidth="1"/>
    <col min="4354" max="4354" width="41.1640625" style="547" customWidth="1"/>
    <col min="4355" max="4355" width="17.6640625" style="547" customWidth="1"/>
    <col min="4356" max="4359" width="14" style="547" customWidth="1"/>
    <col min="4360" max="4360" width="16.6640625" style="547" customWidth="1"/>
    <col min="4361" max="4608" width="9.33203125" style="547"/>
    <col min="4609" max="4609" width="5.6640625" style="547" customWidth="1"/>
    <col min="4610" max="4610" width="41.1640625" style="547" customWidth="1"/>
    <col min="4611" max="4611" width="17.6640625" style="547" customWidth="1"/>
    <col min="4612" max="4615" width="14" style="547" customWidth="1"/>
    <col min="4616" max="4616" width="16.6640625" style="547" customWidth="1"/>
    <col min="4617" max="4864" width="9.33203125" style="547"/>
    <col min="4865" max="4865" width="5.6640625" style="547" customWidth="1"/>
    <col min="4866" max="4866" width="41.1640625" style="547" customWidth="1"/>
    <col min="4867" max="4867" width="17.6640625" style="547" customWidth="1"/>
    <col min="4868" max="4871" width="14" style="547" customWidth="1"/>
    <col min="4872" max="4872" width="16.6640625" style="547" customWidth="1"/>
    <col min="4873" max="5120" width="9.33203125" style="547"/>
    <col min="5121" max="5121" width="5.6640625" style="547" customWidth="1"/>
    <col min="5122" max="5122" width="41.1640625" style="547" customWidth="1"/>
    <col min="5123" max="5123" width="17.6640625" style="547" customWidth="1"/>
    <col min="5124" max="5127" width="14" style="547" customWidth="1"/>
    <col min="5128" max="5128" width="16.6640625" style="547" customWidth="1"/>
    <col min="5129" max="5376" width="9.33203125" style="547"/>
    <col min="5377" max="5377" width="5.6640625" style="547" customWidth="1"/>
    <col min="5378" max="5378" width="41.1640625" style="547" customWidth="1"/>
    <col min="5379" max="5379" width="17.6640625" style="547" customWidth="1"/>
    <col min="5380" max="5383" width="14" style="547" customWidth="1"/>
    <col min="5384" max="5384" width="16.6640625" style="547" customWidth="1"/>
    <col min="5385" max="5632" width="9.33203125" style="547"/>
    <col min="5633" max="5633" width="5.6640625" style="547" customWidth="1"/>
    <col min="5634" max="5634" width="41.1640625" style="547" customWidth="1"/>
    <col min="5635" max="5635" width="17.6640625" style="547" customWidth="1"/>
    <col min="5636" max="5639" width="14" style="547" customWidth="1"/>
    <col min="5640" max="5640" width="16.6640625" style="547" customWidth="1"/>
    <col min="5641" max="5888" width="9.33203125" style="547"/>
    <col min="5889" max="5889" width="5.6640625" style="547" customWidth="1"/>
    <col min="5890" max="5890" width="41.1640625" style="547" customWidth="1"/>
    <col min="5891" max="5891" width="17.6640625" style="547" customWidth="1"/>
    <col min="5892" max="5895" width="14" style="547" customWidth="1"/>
    <col min="5896" max="5896" width="16.6640625" style="547" customWidth="1"/>
    <col min="5897" max="6144" width="9.33203125" style="547"/>
    <col min="6145" max="6145" width="5.6640625" style="547" customWidth="1"/>
    <col min="6146" max="6146" width="41.1640625" style="547" customWidth="1"/>
    <col min="6147" max="6147" width="17.6640625" style="547" customWidth="1"/>
    <col min="6148" max="6151" width="14" style="547" customWidth="1"/>
    <col min="6152" max="6152" width="16.6640625" style="547" customWidth="1"/>
    <col min="6153" max="6400" width="9.33203125" style="547"/>
    <col min="6401" max="6401" width="5.6640625" style="547" customWidth="1"/>
    <col min="6402" max="6402" width="41.1640625" style="547" customWidth="1"/>
    <col min="6403" max="6403" width="17.6640625" style="547" customWidth="1"/>
    <col min="6404" max="6407" width="14" style="547" customWidth="1"/>
    <col min="6408" max="6408" width="16.6640625" style="547" customWidth="1"/>
    <col min="6409" max="6656" width="9.33203125" style="547"/>
    <col min="6657" max="6657" width="5.6640625" style="547" customWidth="1"/>
    <col min="6658" max="6658" width="41.1640625" style="547" customWidth="1"/>
    <col min="6659" max="6659" width="17.6640625" style="547" customWidth="1"/>
    <col min="6660" max="6663" width="14" style="547" customWidth="1"/>
    <col min="6664" max="6664" width="16.6640625" style="547" customWidth="1"/>
    <col min="6665" max="6912" width="9.33203125" style="547"/>
    <col min="6913" max="6913" width="5.6640625" style="547" customWidth="1"/>
    <col min="6914" max="6914" width="41.1640625" style="547" customWidth="1"/>
    <col min="6915" max="6915" width="17.6640625" style="547" customWidth="1"/>
    <col min="6916" max="6919" width="14" style="547" customWidth="1"/>
    <col min="6920" max="6920" width="16.6640625" style="547" customWidth="1"/>
    <col min="6921" max="7168" width="9.33203125" style="547"/>
    <col min="7169" max="7169" width="5.6640625" style="547" customWidth="1"/>
    <col min="7170" max="7170" width="41.1640625" style="547" customWidth="1"/>
    <col min="7171" max="7171" width="17.6640625" style="547" customWidth="1"/>
    <col min="7172" max="7175" width="14" style="547" customWidth="1"/>
    <col min="7176" max="7176" width="16.6640625" style="547" customWidth="1"/>
    <col min="7177" max="7424" width="9.33203125" style="547"/>
    <col min="7425" max="7425" width="5.6640625" style="547" customWidth="1"/>
    <col min="7426" max="7426" width="41.1640625" style="547" customWidth="1"/>
    <col min="7427" max="7427" width="17.6640625" style="547" customWidth="1"/>
    <col min="7428" max="7431" width="14" style="547" customWidth="1"/>
    <col min="7432" max="7432" width="16.6640625" style="547" customWidth="1"/>
    <col min="7433" max="7680" width="9.33203125" style="547"/>
    <col min="7681" max="7681" width="5.6640625" style="547" customWidth="1"/>
    <col min="7682" max="7682" width="41.1640625" style="547" customWidth="1"/>
    <col min="7683" max="7683" width="17.6640625" style="547" customWidth="1"/>
    <col min="7684" max="7687" width="14" style="547" customWidth="1"/>
    <col min="7688" max="7688" width="16.6640625" style="547" customWidth="1"/>
    <col min="7689" max="7936" width="9.33203125" style="547"/>
    <col min="7937" max="7937" width="5.6640625" style="547" customWidth="1"/>
    <col min="7938" max="7938" width="41.1640625" style="547" customWidth="1"/>
    <col min="7939" max="7939" width="17.6640625" style="547" customWidth="1"/>
    <col min="7940" max="7943" width="14" style="547" customWidth="1"/>
    <col min="7944" max="7944" width="16.6640625" style="547" customWidth="1"/>
    <col min="7945" max="8192" width="9.33203125" style="547"/>
    <col min="8193" max="8193" width="5.6640625" style="547" customWidth="1"/>
    <col min="8194" max="8194" width="41.1640625" style="547" customWidth="1"/>
    <col min="8195" max="8195" width="17.6640625" style="547" customWidth="1"/>
    <col min="8196" max="8199" width="14" style="547" customWidth="1"/>
    <col min="8200" max="8200" width="16.6640625" style="547" customWidth="1"/>
    <col min="8201" max="8448" width="9.33203125" style="547"/>
    <col min="8449" max="8449" width="5.6640625" style="547" customWidth="1"/>
    <col min="8450" max="8450" width="41.1640625" style="547" customWidth="1"/>
    <col min="8451" max="8451" width="17.6640625" style="547" customWidth="1"/>
    <col min="8452" max="8455" width="14" style="547" customWidth="1"/>
    <col min="8456" max="8456" width="16.6640625" style="547" customWidth="1"/>
    <col min="8457" max="8704" width="9.33203125" style="547"/>
    <col min="8705" max="8705" width="5.6640625" style="547" customWidth="1"/>
    <col min="8706" max="8706" width="41.1640625" style="547" customWidth="1"/>
    <col min="8707" max="8707" width="17.6640625" style="547" customWidth="1"/>
    <col min="8708" max="8711" width="14" style="547" customWidth="1"/>
    <col min="8712" max="8712" width="16.6640625" style="547" customWidth="1"/>
    <col min="8713" max="8960" width="9.33203125" style="547"/>
    <col min="8961" max="8961" width="5.6640625" style="547" customWidth="1"/>
    <col min="8962" max="8962" width="41.1640625" style="547" customWidth="1"/>
    <col min="8963" max="8963" width="17.6640625" style="547" customWidth="1"/>
    <col min="8964" max="8967" width="14" style="547" customWidth="1"/>
    <col min="8968" max="8968" width="16.6640625" style="547" customWidth="1"/>
    <col min="8969" max="9216" width="9.33203125" style="547"/>
    <col min="9217" max="9217" width="5.6640625" style="547" customWidth="1"/>
    <col min="9218" max="9218" width="41.1640625" style="547" customWidth="1"/>
    <col min="9219" max="9219" width="17.6640625" style="547" customWidth="1"/>
    <col min="9220" max="9223" width="14" style="547" customWidth="1"/>
    <col min="9224" max="9224" width="16.6640625" style="547" customWidth="1"/>
    <col min="9225" max="9472" width="9.33203125" style="547"/>
    <col min="9473" max="9473" width="5.6640625" style="547" customWidth="1"/>
    <col min="9474" max="9474" width="41.1640625" style="547" customWidth="1"/>
    <col min="9475" max="9475" width="17.6640625" style="547" customWidth="1"/>
    <col min="9476" max="9479" width="14" style="547" customWidth="1"/>
    <col min="9480" max="9480" width="16.6640625" style="547" customWidth="1"/>
    <col min="9481" max="9728" width="9.33203125" style="547"/>
    <col min="9729" max="9729" width="5.6640625" style="547" customWidth="1"/>
    <col min="9730" max="9730" width="41.1640625" style="547" customWidth="1"/>
    <col min="9731" max="9731" width="17.6640625" style="547" customWidth="1"/>
    <col min="9732" max="9735" width="14" style="547" customWidth="1"/>
    <col min="9736" max="9736" width="16.6640625" style="547" customWidth="1"/>
    <col min="9737" max="9984" width="9.33203125" style="547"/>
    <col min="9985" max="9985" width="5.6640625" style="547" customWidth="1"/>
    <col min="9986" max="9986" width="41.1640625" style="547" customWidth="1"/>
    <col min="9987" max="9987" width="17.6640625" style="547" customWidth="1"/>
    <col min="9988" max="9991" width="14" style="547" customWidth="1"/>
    <col min="9992" max="9992" width="16.6640625" style="547" customWidth="1"/>
    <col min="9993" max="10240" width="9.33203125" style="547"/>
    <col min="10241" max="10241" width="5.6640625" style="547" customWidth="1"/>
    <col min="10242" max="10242" width="41.1640625" style="547" customWidth="1"/>
    <col min="10243" max="10243" width="17.6640625" style="547" customWidth="1"/>
    <col min="10244" max="10247" width="14" style="547" customWidth="1"/>
    <col min="10248" max="10248" width="16.6640625" style="547" customWidth="1"/>
    <col min="10249" max="10496" width="9.33203125" style="547"/>
    <col min="10497" max="10497" width="5.6640625" style="547" customWidth="1"/>
    <col min="10498" max="10498" width="41.1640625" style="547" customWidth="1"/>
    <col min="10499" max="10499" width="17.6640625" style="547" customWidth="1"/>
    <col min="10500" max="10503" width="14" style="547" customWidth="1"/>
    <col min="10504" max="10504" width="16.6640625" style="547" customWidth="1"/>
    <col min="10505" max="10752" width="9.33203125" style="547"/>
    <col min="10753" max="10753" width="5.6640625" style="547" customWidth="1"/>
    <col min="10754" max="10754" width="41.1640625" style="547" customWidth="1"/>
    <col min="10755" max="10755" width="17.6640625" style="547" customWidth="1"/>
    <col min="10756" max="10759" width="14" style="547" customWidth="1"/>
    <col min="10760" max="10760" width="16.6640625" style="547" customWidth="1"/>
    <col min="10761" max="11008" width="9.33203125" style="547"/>
    <col min="11009" max="11009" width="5.6640625" style="547" customWidth="1"/>
    <col min="11010" max="11010" width="41.1640625" style="547" customWidth="1"/>
    <col min="11011" max="11011" width="17.6640625" style="547" customWidth="1"/>
    <col min="11012" max="11015" width="14" style="547" customWidth="1"/>
    <col min="11016" max="11016" width="16.6640625" style="547" customWidth="1"/>
    <col min="11017" max="11264" width="9.33203125" style="547"/>
    <col min="11265" max="11265" width="5.6640625" style="547" customWidth="1"/>
    <col min="11266" max="11266" width="41.1640625" style="547" customWidth="1"/>
    <col min="11267" max="11267" width="17.6640625" style="547" customWidth="1"/>
    <col min="11268" max="11271" width="14" style="547" customWidth="1"/>
    <col min="11272" max="11272" width="16.6640625" style="547" customWidth="1"/>
    <col min="11273" max="11520" width="9.33203125" style="547"/>
    <col min="11521" max="11521" width="5.6640625" style="547" customWidth="1"/>
    <col min="11522" max="11522" width="41.1640625" style="547" customWidth="1"/>
    <col min="11523" max="11523" width="17.6640625" style="547" customWidth="1"/>
    <col min="11524" max="11527" width="14" style="547" customWidth="1"/>
    <col min="11528" max="11528" width="16.6640625" style="547" customWidth="1"/>
    <col min="11529" max="11776" width="9.33203125" style="547"/>
    <col min="11777" max="11777" width="5.6640625" style="547" customWidth="1"/>
    <col min="11778" max="11778" width="41.1640625" style="547" customWidth="1"/>
    <col min="11779" max="11779" width="17.6640625" style="547" customWidth="1"/>
    <col min="11780" max="11783" width="14" style="547" customWidth="1"/>
    <col min="11784" max="11784" width="16.6640625" style="547" customWidth="1"/>
    <col min="11785" max="12032" width="9.33203125" style="547"/>
    <col min="12033" max="12033" width="5.6640625" style="547" customWidth="1"/>
    <col min="12034" max="12034" width="41.1640625" style="547" customWidth="1"/>
    <col min="12035" max="12035" width="17.6640625" style="547" customWidth="1"/>
    <col min="12036" max="12039" width="14" style="547" customWidth="1"/>
    <col min="12040" max="12040" width="16.6640625" style="547" customWidth="1"/>
    <col min="12041" max="12288" width="9.33203125" style="547"/>
    <col min="12289" max="12289" width="5.6640625" style="547" customWidth="1"/>
    <col min="12290" max="12290" width="41.1640625" style="547" customWidth="1"/>
    <col min="12291" max="12291" width="17.6640625" style="547" customWidth="1"/>
    <col min="12292" max="12295" width="14" style="547" customWidth="1"/>
    <col min="12296" max="12296" width="16.6640625" style="547" customWidth="1"/>
    <col min="12297" max="12544" width="9.33203125" style="547"/>
    <col min="12545" max="12545" width="5.6640625" style="547" customWidth="1"/>
    <col min="12546" max="12546" width="41.1640625" style="547" customWidth="1"/>
    <col min="12547" max="12547" width="17.6640625" style="547" customWidth="1"/>
    <col min="12548" max="12551" width="14" style="547" customWidth="1"/>
    <col min="12552" max="12552" width="16.6640625" style="547" customWidth="1"/>
    <col min="12553" max="12800" width="9.33203125" style="547"/>
    <col min="12801" max="12801" width="5.6640625" style="547" customWidth="1"/>
    <col min="12802" max="12802" width="41.1640625" style="547" customWidth="1"/>
    <col min="12803" max="12803" width="17.6640625" style="547" customWidth="1"/>
    <col min="12804" max="12807" width="14" style="547" customWidth="1"/>
    <col min="12808" max="12808" width="16.6640625" style="547" customWidth="1"/>
    <col min="12809" max="13056" width="9.33203125" style="547"/>
    <col min="13057" max="13057" width="5.6640625" style="547" customWidth="1"/>
    <col min="13058" max="13058" width="41.1640625" style="547" customWidth="1"/>
    <col min="13059" max="13059" width="17.6640625" style="547" customWidth="1"/>
    <col min="13060" max="13063" width="14" style="547" customWidth="1"/>
    <col min="13064" max="13064" width="16.6640625" style="547" customWidth="1"/>
    <col min="13065" max="13312" width="9.33203125" style="547"/>
    <col min="13313" max="13313" width="5.6640625" style="547" customWidth="1"/>
    <col min="13314" max="13314" width="41.1640625" style="547" customWidth="1"/>
    <col min="13315" max="13315" width="17.6640625" style="547" customWidth="1"/>
    <col min="13316" max="13319" width="14" style="547" customWidth="1"/>
    <col min="13320" max="13320" width="16.6640625" style="547" customWidth="1"/>
    <col min="13321" max="13568" width="9.33203125" style="547"/>
    <col min="13569" max="13569" width="5.6640625" style="547" customWidth="1"/>
    <col min="13570" max="13570" width="41.1640625" style="547" customWidth="1"/>
    <col min="13571" max="13571" width="17.6640625" style="547" customWidth="1"/>
    <col min="13572" max="13575" width="14" style="547" customWidth="1"/>
    <col min="13576" max="13576" width="16.6640625" style="547" customWidth="1"/>
    <col min="13577" max="13824" width="9.33203125" style="547"/>
    <col min="13825" max="13825" width="5.6640625" style="547" customWidth="1"/>
    <col min="13826" max="13826" width="41.1640625" style="547" customWidth="1"/>
    <col min="13827" max="13827" width="17.6640625" style="547" customWidth="1"/>
    <col min="13828" max="13831" width="14" style="547" customWidth="1"/>
    <col min="13832" max="13832" width="16.6640625" style="547" customWidth="1"/>
    <col min="13833" max="14080" width="9.33203125" style="547"/>
    <col min="14081" max="14081" width="5.6640625" style="547" customWidth="1"/>
    <col min="14082" max="14082" width="41.1640625" style="547" customWidth="1"/>
    <col min="14083" max="14083" width="17.6640625" style="547" customWidth="1"/>
    <col min="14084" max="14087" width="14" style="547" customWidth="1"/>
    <col min="14088" max="14088" width="16.6640625" style="547" customWidth="1"/>
    <col min="14089" max="14336" width="9.33203125" style="547"/>
    <col min="14337" max="14337" width="5.6640625" style="547" customWidth="1"/>
    <col min="14338" max="14338" width="41.1640625" style="547" customWidth="1"/>
    <col min="14339" max="14339" width="17.6640625" style="547" customWidth="1"/>
    <col min="14340" max="14343" width="14" style="547" customWidth="1"/>
    <col min="14344" max="14344" width="16.6640625" style="547" customWidth="1"/>
    <col min="14345" max="14592" width="9.33203125" style="547"/>
    <col min="14593" max="14593" width="5.6640625" style="547" customWidth="1"/>
    <col min="14594" max="14594" width="41.1640625" style="547" customWidth="1"/>
    <col min="14595" max="14595" width="17.6640625" style="547" customWidth="1"/>
    <col min="14596" max="14599" width="14" style="547" customWidth="1"/>
    <col min="14600" max="14600" width="16.6640625" style="547" customWidth="1"/>
    <col min="14601" max="14848" width="9.33203125" style="547"/>
    <col min="14849" max="14849" width="5.6640625" style="547" customWidth="1"/>
    <col min="14850" max="14850" width="41.1640625" style="547" customWidth="1"/>
    <col min="14851" max="14851" width="17.6640625" style="547" customWidth="1"/>
    <col min="14852" max="14855" width="14" style="547" customWidth="1"/>
    <col min="14856" max="14856" width="16.6640625" style="547" customWidth="1"/>
    <col min="14857" max="15104" width="9.33203125" style="547"/>
    <col min="15105" max="15105" width="5.6640625" style="547" customWidth="1"/>
    <col min="15106" max="15106" width="41.1640625" style="547" customWidth="1"/>
    <col min="15107" max="15107" width="17.6640625" style="547" customWidth="1"/>
    <col min="15108" max="15111" width="14" style="547" customWidth="1"/>
    <col min="15112" max="15112" width="16.6640625" style="547" customWidth="1"/>
    <col min="15113" max="15360" width="9.33203125" style="547"/>
    <col min="15361" max="15361" width="5.6640625" style="547" customWidth="1"/>
    <col min="15362" max="15362" width="41.1640625" style="547" customWidth="1"/>
    <col min="15363" max="15363" width="17.6640625" style="547" customWidth="1"/>
    <col min="15364" max="15367" width="14" style="547" customWidth="1"/>
    <col min="15368" max="15368" width="16.6640625" style="547" customWidth="1"/>
    <col min="15369" max="15616" width="9.33203125" style="547"/>
    <col min="15617" max="15617" width="5.6640625" style="547" customWidth="1"/>
    <col min="15618" max="15618" width="41.1640625" style="547" customWidth="1"/>
    <col min="15619" max="15619" width="17.6640625" style="547" customWidth="1"/>
    <col min="15620" max="15623" width="14" style="547" customWidth="1"/>
    <col min="15624" max="15624" width="16.6640625" style="547" customWidth="1"/>
    <col min="15625" max="15872" width="9.33203125" style="547"/>
    <col min="15873" max="15873" width="5.6640625" style="547" customWidth="1"/>
    <col min="15874" max="15874" width="41.1640625" style="547" customWidth="1"/>
    <col min="15875" max="15875" width="17.6640625" style="547" customWidth="1"/>
    <col min="15876" max="15879" width="14" style="547" customWidth="1"/>
    <col min="15880" max="15880" width="16.6640625" style="547" customWidth="1"/>
    <col min="15881" max="16128" width="9.33203125" style="547"/>
    <col min="16129" max="16129" width="5.6640625" style="547" customWidth="1"/>
    <col min="16130" max="16130" width="41.1640625" style="547" customWidth="1"/>
    <col min="16131" max="16131" width="17.6640625" style="547" customWidth="1"/>
    <col min="16132" max="16135" width="14" style="547" customWidth="1"/>
    <col min="16136" max="16136" width="16.6640625" style="547" customWidth="1"/>
    <col min="16137" max="16384" width="9.33203125" style="547"/>
  </cols>
  <sheetData>
    <row r="1" spans="1:11" x14ac:dyDescent="0.25">
      <c r="A1" s="1337" t="str">
        <f>CONCATENATE("7. melléklet ",ALAPADATOK!A7," ",ALAPADATOK!B7," ",ALAPADATOK!C7," ",ALAPADATOK!D7," ",ALAPADATOK!E7," ",ALAPADATOK!F7," ",ALAPADATOK!G7," ",ALAPADATOK!H7)</f>
        <v>7. melléklet az 5 / 2022. ( II.24. ) önkormányzati rendelethez</v>
      </c>
      <c r="B1" s="1337"/>
      <c r="C1" s="1337"/>
      <c r="D1" s="1337"/>
      <c r="E1" s="1337"/>
      <c r="F1" s="1337"/>
      <c r="G1" s="1337"/>
      <c r="H1" s="1337"/>
    </row>
    <row r="3" spans="1:11" x14ac:dyDescent="0.25">
      <c r="A3" s="1338" t="s">
        <v>383</v>
      </c>
      <c r="B3" s="1338"/>
      <c r="C3" s="1338"/>
      <c r="D3" s="1338"/>
      <c r="E3" s="1338"/>
      <c r="F3" s="1338"/>
      <c r="G3" s="1338"/>
      <c r="H3" s="1338"/>
    </row>
    <row r="4" spans="1:11" ht="15.75" thickBot="1" x14ac:dyDescent="0.3">
      <c r="A4" s="613"/>
      <c r="B4" s="614"/>
      <c r="C4" s="614"/>
      <c r="D4" s="1339"/>
      <c r="E4" s="1339"/>
      <c r="F4" s="1339"/>
      <c r="G4" s="1340" t="s">
        <v>496</v>
      </c>
      <c r="H4" s="1340"/>
      <c r="I4" s="684"/>
    </row>
    <row r="5" spans="1:11" ht="25.5" x14ac:dyDescent="0.25">
      <c r="A5" s="1341" t="s">
        <v>14</v>
      </c>
      <c r="B5" s="1343" t="s">
        <v>147</v>
      </c>
      <c r="C5" s="615" t="s">
        <v>946</v>
      </c>
      <c r="D5" s="1343" t="s">
        <v>178</v>
      </c>
      <c r="E5" s="1343"/>
      <c r="F5" s="1343"/>
      <c r="G5" s="1343"/>
      <c r="H5" s="1345" t="s">
        <v>498</v>
      </c>
    </row>
    <row r="6" spans="1:11" ht="15.75" thickBot="1" x14ac:dyDescent="0.3">
      <c r="A6" s="1342"/>
      <c r="B6" s="1344"/>
      <c r="C6" s="729"/>
      <c r="D6" s="729">
        <v>2022</v>
      </c>
      <c r="E6" s="729">
        <v>2023</v>
      </c>
      <c r="F6" s="729">
        <v>2024</v>
      </c>
      <c r="G6" s="729">
        <v>2025</v>
      </c>
      <c r="H6" s="1346"/>
    </row>
    <row r="7" spans="1:11" ht="15.75" thickBot="1" x14ac:dyDescent="0.3">
      <c r="A7" s="616" t="s">
        <v>16</v>
      </c>
      <c r="B7" s="617">
        <v>2</v>
      </c>
      <c r="C7" s="618">
        <v>3</v>
      </c>
      <c r="D7" s="618">
        <v>4</v>
      </c>
      <c r="E7" s="618">
        <v>5</v>
      </c>
      <c r="F7" s="618">
        <v>6</v>
      </c>
      <c r="G7" s="619">
        <v>7</v>
      </c>
      <c r="H7" s="619">
        <v>8</v>
      </c>
    </row>
    <row r="8" spans="1:11" ht="26.25" x14ac:dyDescent="0.25">
      <c r="A8" s="620" t="s">
        <v>16</v>
      </c>
      <c r="B8" s="621" t="s">
        <v>748</v>
      </c>
      <c r="C8" s="1214">
        <v>0</v>
      </c>
      <c r="D8" s="1215">
        <v>0</v>
      </c>
      <c r="E8" s="1215">
        <v>0</v>
      </c>
      <c r="F8" s="1215">
        <v>0</v>
      </c>
      <c r="G8" s="1215">
        <v>0</v>
      </c>
      <c r="H8" s="1216">
        <f t="shared" ref="H8:H22" si="0">SUM(D8:G8)</f>
        <v>0</v>
      </c>
    </row>
    <row r="9" spans="1:11" ht="39" x14ac:dyDescent="0.25">
      <c r="A9" s="620" t="s">
        <v>17</v>
      </c>
      <c r="B9" s="621" t="s">
        <v>503</v>
      </c>
      <c r="C9" s="1214">
        <v>4415000</v>
      </c>
      <c r="D9" s="1217">
        <v>1472000</v>
      </c>
      <c r="E9" s="1217">
        <v>1472000</v>
      </c>
      <c r="F9" s="1215">
        <v>1471000</v>
      </c>
      <c r="G9" s="1215">
        <v>0</v>
      </c>
      <c r="H9" s="1216">
        <f t="shared" si="0"/>
        <v>4415000</v>
      </c>
      <c r="I9" s="622"/>
      <c r="J9" s="623"/>
      <c r="K9" s="624"/>
    </row>
    <row r="10" spans="1:11" ht="26.25" customHeight="1" x14ac:dyDescent="0.25">
      <c r="A10" s="620" t="s">
        <v>18</v>
      </c>
      <c r="B10" s="625" t="s">
        <v>499</v>
      </c>
      <c r="C10" s="1218">
        <v>26281155</v>
      </c>
      <c r="D10" s="1215">
        <v>4940000</v>
      </c>
      <c r="E10" s="1215">
        <v>4940000</v>
      </c>
      <c r="F10" s="1215">
        <v>4940000</v>
      </c>
      <c r="G10" s="1215">
        <v>4940000</v>
      </c>
      <c r="H10" s="1216">
        <f t="shared" si="0"/>
        <v>19760000</v>
      </c>
    </row>
    <row r="11" spans="1:11" ht="39" x14ac:dyDescent="0.25">
      <c r="A11" s="620" t="s">
        <v>19</v>
      </c>
      <c r="B11" s="626" t="s">
        <v>504</v>
      </c>
      <c r="C11" s="1219">
        <v>1108000</v>
      </c>
      <c r="D11" s="1220">
        <v>1108000</v>
      </c>
      <c r="E11" s="1220">
        <v>0</v>
      </c>
      <c r="F11" s="1221">
        <v>0</v>
      </c>
      <c r="G11" s="1221">
        <v>0</v>
      </c>
      <c r="H11" s="1216">
        <f t="shared" si="0"/>
        <v>1108000</v>
      </c>
    </row>
    <row r="12" spans="1:11" ht="26.25" x14ac:dyDescent="0.25">
      <c r="A12" s="620" t="s">
        <v>20</v>
      </c>
      <c r="B12" s="627" t="s">
        <v>576</v>
      </c>
      <c r="C12" s="1214">
        <v>741452</v>
      </c>
      <c r="D12" s="1215">
        <v>741452</v>
      </c>
      <c r="E12" s="1215">
        <v>0</v>
      </c>
      <c r="F12" s="1215">
        <v>0</v>
      </c>
      <c r="G12" s="1215">
        <v>0</v>
      </c>
      <c r="H12" s="1216">
        <f t="shared" si="0"/>
        <v>741452</v>
      </c>
    </row>
    <row r="13" spans="1:11" ht="26.25" x14ac:dyDescent="0.25">
      <c r="A13" s="620" t="s">
        <v>21</v>
      </c>
      <c r="B13" s="627" t="s">
        <v>577</v>
      </c>
      <c r="C13" s="1214">
        <v>2011242</v>
      </c>
      <c r="D13" s="1215">
        <v>1270000</v>
      </c>
      <c r="E13" s="1215">
        <v>741242</v>
      </c>
      <c r="F13" s="1215">
        <v>0</v>
      </c>
      <c r="G13" s="1215">
        <v>0</v>
      </c>
      <c r="H13" s="1216">
        <f t="shared" si="0"/>
        <v>2011242</v>
      </c>
    </row>
    <row r="14" spans="1:11" ht="26.25" x14ac:dyDescent="0.25">
      <c r="A14" s="620" t="s">
        <v>22</v>
      </c>
      <c r="B14" s="625" t="s">
        <v>578</v>
      </c>
      <c r="C14" s="1214">
        <v>5725526</v>
      </c>
      <c r="D14" s="1215">
        <v>1668000</v>
      </c>
      <c r="E14" s="1215">
        <v>1668000</v>
      </c>
      <c r="F14" s="1215">
        <v>1668000</v>
      </c>
      <c r="G14" s="1215">
        <v>721526</v>
      </c>
      <c r="H14" s="1216">
        <f t="shared" si="0"/>
        <v>5725526</v>
      </c>
    </row>
    <row r="15" spans="1:11" ht="27.75" customHeight="1" x14ac:dyDescent="0.25">
      <c r="A15" s="620" t="s">
        <v>23</v>
      </c>
      <c r="B15" s="625" t="s">
        <v>579</v>
      </c>
      <c r="C15" s="1214">
        <v>5373754</v>
      </c>
      <c r="D15" s="1215">
        <v>1834504</v>
      </c>
      <c r="E15" s="1215">
        <v>1834504</v>
      </c>
      <c r="F15" s="1215">
        <v>1704746</v>
      </c>
      <c r="G15" s="1215">
        <v>0</v>
      </c>
      <c r="H15" s="1216">
        <f t="shared" si="0"/>
        <v>5373754</v>
      </c>
    </row>
    <row r="16" spans="1:11" ht="27" customHeight="1" x14ac:dyDescent="0.25">
      <c r="A16" s="620" t="s">
        <v>24</v>
      </c>
      <c r="B16" s="625" t="s">
        <v>580</v>
      </c>
      <c r="C16" s="1214">
        <v>19444800</v>
      </c>
      <c r="D16" s="1215">
        <v>2777600</v>
      </c>
      <c r="E16" s="1215">
        <v>2777600</v>
      </c>
      <c r="F16" s="1215">
        <v>2777600</v>
      </c>
      <c r="G16" s="1215">
        <v>2777600</v>
      </c>
      <c r="H16" s="1216">
        <f t="shared" si="0"/>
        <v>11110400</v>
      </c>
    </row>
    <row r="17" spans="1:8" ht="26.25" customHeight="1" x14ac:dyDescent="0.25">
      <c r="A17" s="620" t="s">
        <v>25</v>
      </c>
      <c r="B17" s="625" t="s">
        <v>581</v>
      </c>
      <c r="C17" s="1214">
        <v>2485644</v>
      </c>
      <c r="D17" s="1215">
        <v>1016000</v>
      </c>
      <c r="E17" s="1215">
        <v>1016000</v>
      </c>
      <c r="F17" s="1215">
        <v>453644</v>
      </c>
      <c r="G17" s="1215">
        <v>0</v>
      </c>
      <c r="H17" s="1216">
        <f t="shared" si="0"/>
        <v>2485644</v>
      </c>
    </row>
    <row r="18" spans="1:8" ht="26.25" x14ac:dyDescent="0.25">
      <c r="A18" s="620" t="s">
        <v>26</v>
      </c>
      <c r="B18" s="625" t="s">
        <v>582</v>
      </c>
      <c r="C18" s="1214">
        <v>12809597</v>
      </c>
      <c r="D18" s="1215">
        <v>3600000</v>
      </c>
      <c r="E18" s="1215">
        <v>3600000</v>
      </c>
      <c r="F18" s="1215">
        <v>3600000</v>
      </c>
      <c r="G18" s="1215">
        <v>2009597</v>
      </c>
      <c r="H18" s="1216">
        <f t="shared" si="0"/>
        <v>12809597</v>
      </c>
    </row>
    <row r="19" spans="1:8" x14ac:dyDescent="0.25">
      <c r="A19" s="620" t="s">
        <v>27</v>
      </c>
      <c r="B19" s="886" t="s">
        <v>859</v>
      </c>
      <c r="C19" s="1222">
        <v>11502781</v>
      </c>
      <c r="D19" s="737">
        <v>2300740</v>
      </c>
      <c r="E19" s="737">
        <v>2300740</v>
      </c>
      <c r="F19" s="737">
        <v>2300740</v>
      </c>
      <c r="G19" s="1223">
        <v>2300740</v>
      </c>
      <c r="H19" s="1216">
        <f t="shared" si="0"/>
        <v>9202960</v>
      </c>
    </row>
    <row r="20" spans="1:8" ht="22.5" x14ac:dyDescent="0.25">
      <c r="A20" s="731" t="s">
        <v>28</v>
      </c>
      <c r="B20" s="738" t="s">
        <v>860</v>
      </c>
      <c r="C20" s="1222">
        <v>0</v>
      </c>
      <c r="D20" s="737">
        <v>0</v>
      </c>
      <c r="E20" s="737">
        <v>1568620</v>
      </c>
      <c r="F20" s="737">
        <v>1568620</v>
      </c>
      <c r="G20" s="1223">
        <v>1568620</v>
      </c>
      <c r="H20" s="1224">
        <f t="shared" si="0"/>
        <v>4705860</v>
      </c>
    </row>
    <row r="21" spans="1:8" ht="22.5" x14ac:dyDescent="0.25">
      <c r="A21" s="1026" t="s">
        <v>29</v>
      </c>
      <c r="B21" s="1027" t="s">
        <v>931</v>
      </c>
      <c r="C21" s="1222">
        <v>0</v>
      </c>
      <c r="D21" s="737">
        <v>0</v>
      </c>
      <c r="E21" s="737">
        <v>0</v>
      </c>
      <c r="F21" s="1212">
        <v>12250000</v>
      </c>
      <c r="G21" s="1213">
        <v>12250000</v>
      </c>
      <c r="H21" s="1224">
        <f>SUM(D21:G21)</f>
        <v>24500000</v>
      </c>
    </row>
    <row r="22" spans="1:8" ht="15.75" thickBot="1" x14ac:dyDescent="0.3">
      <c r="A22" s="730" t="s">
        <v>30</v>
      </c>
      <c r="B22" s="1028" t="s">
        <v>947</v>
      </c>
      <c r="C22" s="1225">
        <v>0</v>
      </c>
      <c r="D22" s="1025">
        <v>0</v>
      </c>
      <c r="E22" s="1025">
        <v>0</v>
      </c>
      <c r="F22" s="1025">
        <v>2280000</v>
      </c>
      <c r="G22" s="1226">
        <v>2280000</v>
      </c>
      <c r="H22" s="1227">
        <f t="shared" si="0"/>
        <v>4560000</v>
      </c>
    </row>
    <row r="23" spans="1:8" ht="24" customHeight="1" thickBot="1" x14ac:dyDescent="0.3">
      <c r="A23" s="616"/>
      <c r="B23" s="628" t="s">
        <v>148</v>
      </c>
      <c r="C23" s="629">
        <f t="shared" ref="C23:H23" si="1">SUM(C8:C22)</f>
        <v>91898951</v>
      </c>
      <c r="D23" s="629">
        <f t="shared" si="1"/>
        <v>22728296</v>
      </c>
      <c r="E23" s="629">
        <f t="shared" si="1"/>
        <v>21918706</v>
      </c>
      <c r="F23" s="629">
        <f t="shared" si="1"/>
        <v>35014350</v>
      </c>
      <c r="G23" s="629">
        <f t="shared" si="1"/>
        <v>28848083</v>
      </c>
      <c r="H23" s="631">
        <f t="shared" si="1"/>
        <v>108509435</v>
      </c>
    </row>
    <row r="25" spans="1:8" x14ac:dyDescent="0.25">
      <c r="B25" s="319" t="s">
        <v>583</v>
      </c>
    </row>
    <row r="27" spans="1:8" x14ac:dyDescent="0.25">
      <c r="B27" s="630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zoomScale="120" zoomScaleNormal="120" zoomScaleSheetLayoutView="115" zoomScalePageLayoutView="115" workbookViewId="0">
      <selection activeCell="A2" sqref="A2"/>
    </sheetView>
  </sheetViews>
  <sheetFormatPr defaultRowHeight="15" x14ac:dyDescent="0.25"/>
  <cols>
    <col min="1" max="1" width="5.6640625" style="547" customWidth="1"/>
    <col min="2" max="2" width="68.6640625" style="547" customWidth="1"/>
    <col min="3" max="3" width="19.5" style="547" customWidth="1"/>
    <col min="4" max="4" width="11.33203125" style="547" customWidth="1"/>
    <col min="5" max="16384" width="9.33203125" style="547"/>
  </cols>
  <sheetData>
    <row r="1" spans="1:4" x14ac:dyDescent="0.25">
      <c r="A1" s="1337" t="str">
        <f>CONCATENATE("7. melléklet ",ALAPADATOK!A7," ",ALAPADATOK!B7," ",ALAPADATOK!C7," ",ALAPADATOK!D8," ",ALAPADATOK!E7," ",ALAPADATOK!F7," ",ALAPADATOK!G7," ",ALAPADATOK!H7)</f>
        <v>7. melléklet az 5 / 2023. ( II.24. ) önkormányzati rendelethez</v>
      </c>
      <c r="B1" s="1337"/>
      <c r="C1" s="1337"/>
    </row>
    <row r="3" spans="1:4" ht="33" customHeight="1" x14ac:dyDescent="0.25">
      <c r="A3" s="1338" t="s">
        <v>512</v>
      </c>
      <c r="B3" s="1338"/>
      <c r="C3" s="1338"/>
    </row>
    <row r="4" spans="1:4" ht="15.95" customHeight="1" thickBot="1" x14ac:dyDescent="0.3">
      <c r="A4" s="613"/>
      <c r="B4" s="613"/>
      <c r="C4" s="63" t="s">
        <v>488</v>
      </c>
      <c r="D4" s="407"/>
    </row>
    <row r="5" spans="1:4" ht="26.25" customHeight="1" thickBot="1" x14ac:dyDescent="0.3">
      <c r="A5" s="64" t="s">
        <v>14</v>
      </c>
      <c r="B5" s="65" t="s">
        <v>513</v>
      </c>
      <c r="C5" s="66" t="s">
        <v>944</v>
      </c>
    </row>
    <row r="6" spans="1:4" ht="15.75" thickBot="1" x14ac:dyDescent="0.3">
      <c r="A6" s="408">
        <v>1</v>
      </c>
      <c r="B6" s="409">
        <v>2</v>
      </c>
      <c r="C6" s="410">
        <v>3</v>
      </c>
    </row>
    <row r="7" spans="1:4" x14ac:dyDescent="0.25">
      <c r="A7" s="67" t="s">
        <v>16</v>
      </c>
      <c r="B7" s="804" t="s">
        <v>722</v>
      </c>
      <c r="C7" s="1204">
        <f>376555000+50000000+33047000+592000</f>
        <v>460194000</v>
      </c>
    </row>
    <row r="8" spans="1:4" ht="24.75" x14ac:dyDescent="0.25">
      <c r="A8" s="68" t="s">
        <v>17</v>
      </c>
      <c r="B8" s="411" t="s">
        <v>514</v>
      </c>
      <c r="C8" s="412">
        <v>9500000</v>
      </c>
    </row>
    <row r="9" spans="1:4" x14ac:dyDescent="0.25">
      <c r="A9" s="68" t="s">
        <v>18</v>
      </c>
      <c r="B9" s="413" t="s">
        <v>515</v>
      </c>
      <c r="C9" s="412"/>
    </row>
    <row r="10" spans="1:4" ht="24.75" x14ac:dyDescent="0.25">
      <c r="A10" s="68" t="s">
        <v>19</v>
      </c>
      <c r="B10" s="413" t="s">
        <v>516</v>
      </c>
      <c r="C10" s="412">
        <v>48000000</v>
      </c>
    </row>
    <row r="11" spans="1:4" x14ac:dyDescent="0.25">
      <c r="A11" s="68" t="s">
        <v>20</v>
      </c>
      <c r="B11" s="413" t="s">
        <v>573</v>
      </c>
      <c r="C11" s="805">
        <v>14800000</v>
      </c>
    </row>
    <row r="12" spans="1:4" ht="15.75" thickBot="1" x14ac:dyDescent="0.3">
      <c r="A12" s="414" t="s">
        <v>21</v>
      </c>
      <c r="B12" s="415" t="s">
        <v>517</v>
      </c>
      <c r="C12" s="416">
        <v>1000000</v>
      </c>
    </row>
    <row r="13" spans="1:4" ht="15.75" thickBot="1" x14ac:dyDescent="0.3">
      <c r="A13" s="1347" t="s">
        <v>518</v>
      </c>
      <c r="B13" s="1348"/>
      <c r="C13" s="417">
        <f>SUM(C7:C12)</f>
        <v>533494000</v>
      </c>
    </row>
    <row r="14" spans="1:4" ht="23.25" customHeight="1" x14ac:dyDescent="0.25">
      <c r="A14" s="1349" t="s">
        <v>519</v>
      </c>
      <c r="B14" s="1349"/>
      <c r="C14" s="1349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D7" sqref="D7"/>
    </sheetView>
  </sheetViews>
  <sheetFormatPr defaultRowHeight="15" x14ac:dyDescent="0.25"/>
  <cols>
    <col min="1" max="1" width="5.6640625" style="547" customWidth="1"/>
    <col min="2" max="2" width="66.83203125" style="547" customWidth="1"/>
    <col min="3" max="3" width="27" style="547" customWidth="1"/>
    <col min="4" max="16384" width="9.33203125" style="547"/>
  </cols>
  <sheetData>
    <row r="1" spans="1:5" x14ac:dyDescent="0.25">
      <c r="A1" s="1337" t="str">
        <f>CONCATENATE("8. melléklet ",ALAPADATOK!A7," ",ALAPADATOK!B7," ",ALAPADATOK!C7," ",ALAPADATOK!D7," ",ALAPADATOK!E7," ",ALAPADATOK!F7," ",ALAPADATOK!G7," ",ALAPADATOK!H7)</f>
        <v>8. melléklet az 5 / 2022. ( II.24. ) önkormányzati rendelethez</v>
      </c>
      <c r="B1" s="1337"/>
      <c r="C1" s="1337"/>
    </row>
    <row r="3" spans="1:5" ht="33" customHeight="1" x14ac:dyDescent="0.25">
      <c r="A3" s="1338" t="s">
        <v>1013</v>
      </c>
      <c r="B3" s="1338"/>
      <c r="C3" s="1338"/>
    </row>
    <row r="4" spans="1:5" ht="15.95" customHeight="1" thickBot="1" x14ac:dyDescent="0.3">
      <c r="A4" s="613"/>
      <c r="B4" s="613"/>
      <c r="C4" s="63" t="s">
        <v>488</v>
      </c>
      <c r="D4" s="62"/>
    </row>
    <row r="5" spans="1:5" ht="26.25" customHeight="1" thickBot="1" x14ac:dyDescent="0.3">
      <c r="A5" s="479" t="s">
        <v>14</v>
      </c>
      <c r="B5" s="480" t="s">
        <v>149</v>
      </c>
      <c r="C5" s="481" t="s">
        <v>154</v>
      </c>
    </row>
    <row r="6" spans="1:5" ht="15.75" thickBot="1" x14ac:dyDescent="0.3">
      <c r="A6" s="482">
        <v>1</v>
      </c>
      <c r="B6" s="483">
        <v>2</v>
      </c>
      <c r="C6" s="484">
        <v>3</v>
      </c>
    </row>
    <row r="7" spans="1:5" x14ac:dyDescent="0.25">
      <c r="A7" s="67" t="s">
        <v>16</v>
      </c>
      <c r="B7" s="738" t="s">
        <v>948</v>
      </c>
      <c r="C7" s="487">
        <v>7058824</v>
      </c>
      <c r="D7" s="882"/>
      <c r="E7" s="882"/>
    </row>
    <row r="8" spans="1:5" ht="23.25" x14ac:dyDescent="0.25">
      <c r="A8" s="68" t="s">
        <v>17</v>
      </c>
      <c r="B8" s="1029" t="s">
        <v>949</v>
      </c>
      <c r="C8" s="1291">
        <v>147000000</v>
      </c>
    </row>
    <row r="9" spans="1:5" x14ac:dyDescent="0.25">
      <c r="A9" s="544" t="s">
        <v>18</v>
      </c>
      <c r="B9" s="738" t="s">
        <v>950</v>
      </c>
      <c r="C9" s="883">
        <v>13674426</v>
      </c>
    </row>
    <row r="10" spans="1:5" x14ac:dyDescent="0.25">
      <c r="A10" s="68" t="s">
        <v>19</v>
      </c>
      <c r="B10" s="738"/>
      <c r="C10" s="733"/>
    </row>
    <row r="11" spans="1:5" x14ac:dyDescent="0.25">
      <c r="A11" s="68" t="s">
        <v>20</v>
      </c>
      <c r="B11" s="732"/>
      <c r="C11" s="734"/>
    </row>
    <row r="12" spans="1:5" x14ac:dyDescent="0.25">
      <c r="A12" s="544" t="s">
        <v>21</v>
      </c>
      <c r="B12" s="485"/>
      <c r="C12" s="487"/>
    </row>
    <row r="13" spans="1:5" x14ac:dyDescent="0.25">
      <c r="A13" s="544" t="s">
        <v>22</v>
      </c>
      <c r="B13" s="486"/>
      <c r="C13" s="488"/>
    </row>
    <row r="14" spans="1:5" x14ac:dyDescent="0.25">
      <c r="A14" s="544" t="s">
        <v>23</v>
      </c>
      <c r="B14" s="489"/>
      <c r="C14" s="488"/>
    </row>
    <row r="15" spans="1:5" s="491" customFormat="1" thickBot="1" x14ac:dyDescent="0.25">
      <c r="A15" s="544" t="s">
        <v>24</v>
      </c>
      <c r="B15" s="490"/>
      <c r="C15" s="487"/>
    </row>
    <row r="16" spans="1:5" s="491" customFormat="1" ht="17.25" customHeight="1" thickBot="1" x14ac:dyDescent="0.25">
      <c r="A16" s="492" t="s">
        <v>25</v>
      </c>
      <c r="B16" s="493" t="s">
        <v>150</v>
      </c>
      <c r="C16" s="494">
        <f>SUM(C7:C15)</f>
        <v>167733250</v>
      </c>
    </row>
    <row r="18" spans="2:2" x14ac:dyDescent="0.25">
      <c r="B18" s="178" t="s">
        <v>723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60"/>
  <sheetViews>
    <sheetView zoomScale="130" zoomScaleNormal="130" zoomScaleSheetLayoutView="100" workbookViewId="0">
      <selection activeCell="A5" sqref="A5"/>
    </sheetView>
  </sheetViews>
  <sheetFormatPr defaultColWidth="9.33203125" defaultRowHeight="12.75" x14ac:dyDescent="0.2"/>
  <cols>
    <col min="1" max="1" width="61.33203125" style="406" customWidth="1"/>
    <col min="2" max="2" width="15.6640625" style="398" customWidth="1"/>
    <col min="3" max="3" width="16.33203125" style="398" customWidth="1"/>
    <col min="4" max="5" width="18" style="398" customWidth="1"/>
    <col min="6" max="6" width="16.6640625" style="398" customWidth="1"/>
    <col min="7" max="7" width="18.83203125" style="398" customWidth="1"/>
    <col min="8" max="9" width="12.83203125" style="31" customWidth="1"/>
    <col min="10" max="10" width="13.83203125" style="31" customWidth="1"/>
    <col min="11" max="11" width="12.6640625" style="31" bestFit="1" customWidth="1"/>
    <col min="12" max="12" width="12.6640625" style="31" customWidth="1"/>
    <col min="13" max="13" width="11.1640625" style="31" bestFit="1" customWidth="1"/>
    <col min="14" max="16384" width="9.33203125" style="31"/>
  </cols>
  <sheetData>
    <row r="1" spans="1:8" x14ac:dyDescent="0.2">
      <c r="A1" s="1350" t="str">
        <f>CONCATENATE("8. melléklet"," ",ALAPADATOK!A7," ",ALAPADATOK!B7," ",ALAPADATOK!C7," ",ALAPADATOK!D8," ",ALAPADATOK!E7," ",ALAPADATOK!F7," ",ALAPADATOK!G7," ",ALAPADATOK!H7)</f>
        <v>8. melléklet az 5 / 2023. ( II.24. ) önkormányzati rendelethez</v>
      </c>
      <c r="B1" s="1350"/>
      <c r="C1" s="1350"/>
      <c r="D1" s="1350"/>
      <c r="E1" s="1350"/>
      <c r="F1" s="1350"/>
      <c r="G1" s="1350"/>
    </row>
    <row r="3" spans="1:8" ht="25.5" customHeight="1" x14ac:dyDescent="0.2">
      <c r="A3" s="1351" t="s">
        <v>4</v>
      </c>
      <c r="B3" s="1351"/>
      <c r="C3" s="1351"/>
      <c r="D3" s="1351"/>
      <c r="E3" s="1351"/>
      <c r="F3" s="1351"/>
      <c r="G3" s="1351"/>
    </row>
    <row r="4" spans="1:8" ht="22.5" customHeight="1" thickBot="1" x14ac:dyDescent="0.3">
      <c r="B4" s="978"/>
      <c r="C4" s="978"/>
      <c r="D4" s="978"/>
      <c r="E4" s="978"/>
      <c r="F4" s="978"/>
      <c r="G4" s="974"/>
    </row>
    <row r="5" spans="1:8" s="126" customFormat="1" ht="44.25" customHeight="1" thickBot="1" x14ac:dyDescent="0.25">
      <c r="A5" s="794" t="s">
        <v>892</v>
      </c>
      <c r="B5" s="399" t="s">
        <v>60</v>
      </c>
      <c r="C5" s="400" t="s">
        <v>61</v>
      </c>
      <c r="D5" s="400" t="s">
        <v>952</v>
      </c>
      <c r="E5" s="400" t="s">
        <v>953</v>
      </c>
      <c r="F5" s="400" t="s">
        <v>944</v>
      </c>
      <c r="G5" s="401" t="s">
        <v>954</v>
      </c>
      <c r="H5" s="402"/>
    </row>
    <row r="6" spans="1:8" ht="12" customHeight="1" thickBot="1" x14ac:dyDescent="0.25">
      <c r="A6" s="795">
        <v>1</v>
      </c>
      <c r="B6" s="403">
        <v>2</v>
      </c>
      <c r="C6" s="404">
        <v>3</v>
      </c>
      <c r="D6" s="404">
        <v>4</v>
      </c>
      <c r="E6" s="404">
        <v>5</v>
      </c>
      <c r="F6" s="404">
        <v>6</v>
      </c>
      <c r="G6" s="405" t="s">
        <v>738</v>
      </c>
    </row>
    <row r="7" spans="1:8" ht="12" customHeight="1" thickBot="1" x14ac:dyDescent="0.25">
      <c r="A7" s="793" t="s">
        <v>655</v>
      </c>
      <c r="B7" s="796">
        <f t="shared" ref="B7:F7" si="0">SUM(B8:B36)</f>
        <v>1259347132</v>
      </c>
      <c r="C7" s="639">
        <f t="shared" si="0"/>
        <v>0</v>
      </c>
      <c r="D7" s="639">
        <f t="shared" si="0"/>
        <v>221746213</v>
      </c>
      <c r="E7" s="639">
        <f t="shared" si="0"/>
        <v>95880411</v>
      </c>
      <c r="F7" s="639">
        <f t="shared" si="0"/>
        <v>941720508</v>
      </c>
      <c r="G7" s="1207">
        <f>SUM(G8:G36)</f>
        <v>0</v>
      </c>
    </row>
    <row r="8" spans="1:8" s="398" customFormat="1" ht="15.95" customHeight="1" x14ac:dyDescent="0.2">
      <c r="A8" s="1117" t="s">
        <v>651</v>
      </c>
      <c r="B8" s="1155">
        <f>267489554-142138515+16601097+401550+101600</f>
        <v>142455286</v>
      </c>
      <c r="C8" s="1156" t="s">
        <v>879</v>
      </c>
      <c r="D8" s="1157">
        <f>13586200-204600+41610877</f>
        <v>54992477</v>
      </c>
      <c r="E8" s="1157">
        <v>16601097</v>
      </c>
      <c r="F8" s="1157">
        <v>70861712</v>
      </c>
      <c r="G8" s="1158">
        <f>B8-D8-F8-E8</f>
        <v>0</v>
      </c>
    </row>
    <row r="9" spans="1:8" s="569" customFormat="1" ht="25.5" x14ac:dyDescent="0.2">
      <c r="A9" s="1117" t="s">
        <v>652</v>
      </c>
      <c r="B9" s="1118">
        <f>12274550-2533650-30445</f>
        <v>9710455</v>
      </c>
      <c r="C9" s="1119" t="s">
        <v>879</v>
      </c>
      <c r="D9" s="1120">
        <f>5715000+2978360</f>
        <v>8693360</v>
      </c>
      <c r="E9" s="1120"/>
      <c r="F9" s="1120">
        <f>1047540-30445</f>
        <v>1017095</v>
      </c>
      <c r="G9" s="634">
        <f t="shared" ref="G9:G53" si="1">B9-D9-F9-E9</f>
        <v>0</v>
      </c>
    </row>
    <row r="10" spans="1:8" s="398" customFormat="1" ht="18.75" customHeight="1" x14ac:dyDescent="0.2">
      <c r="A10" s="1121" t="s">
        <v>565</v>
      </c>
      <c r="B10" s="1122">
        <v>17562217</v>
      </c>
      <c r="C10" s="1032" t="s">
        <v>879</v>
      </c>
      <c r="D10" s="632">
        <v>17312217</v>
      </c>
      <c r="E10" s="632"/>
      <c r="F10" s="632">
        <v>250000</v>
      </c>
      <c r="G10" s="1034">
        <f t="shared" si="1"/>
        <v>0</v>
      </c>
    </row>
    <row r="11" spans="1:8" s="398" customFormat="1" ht="15.95" customHeight="1" x14ac:dyDescent="0.2">
      <c r="A11" s="1123" t="s">
        <v>566</v>
      </c>
      <c r="B11" s="1122">
        <v>127000</v>
      </c>
      <c r="C11" s="1032" t="s">
        <v>951</v>
      </c>
      <c r="D11" s="632"/>
      <c r="E11" s="632"/>
      <c r="F11" s="632">
        <v>127000</v>
      </c>
      <c r="G11" s="1034">
        <f t="shared" si="1"/>
        <v>0</v>
      </c>
    </row>
    <row r="12" spans="1:8" s="398" customFormat="1" ht="15.95" customHeight="1" x14ac:dyDescent="0.2">
      <c r="A12" s="1124" t="s">
        <v>960</v>
      </c>
      <c r="B12" s="1274">
        <f>5194300-3566000</f>
        <v>1628300</v>
      </c>
      <c r="C12" s="1032" t="s">
        <v>951</v>
      </c>
      <c r="D12" s="632"/>
      <c r="E12" s="632"/>
      <c r="F12" s="1256">
        <f>5194300-3566000</f>
        <v>1628300</v>
      </c>
      <c r="G12" s="1034">
        <f t="shared" si="1"/>
        <v>0</v>
      </c>
    </row>
    <row r="13" spans="1:8" s="398" customFormat="1" ht="31.5" customHeight="1" x14ac:dyDescent="0.2">
      <c r="A13" s="1124" t="s">
        <v>961</v>
      </c>
      <c r="B13" s="1122">
        <v>350500</v>
      </c>
      <c r="C13" s="1032" t="s">
        <v>951</v>
      </c>
      <c r="D13" s="632"/>
      <c r="E13" s="632"/>
      <c r="F13" s="632">
        <v>350500</v>
      </c>
      <c r="G13" s="1034">
        <f t="shared" si="1"/>
        <v>0</v>
      </c>
    </row>
    <row r="14" spans="1:8" s="398" customFormat="1" ht="25.5" x14ac:dyDescent="0.2">
      <c r="A14" s="1123" t="s">
        <v>587</v>
      </c>
      <c r="B14" s="1122">
        <f>6704583+2425+4071620</f>
        <v>10778628</v>
      </c>
      <c r="C14" s="1032" t="s">
        <v>1018</v>
      </c>
      <c r="D14" s="632">
        <f>1295700+3842258+1568000</f>
        <v>6705958</v>
      </c>
      <c r="E14" s="632"/>
      <c r="F14" s="632">
        <f>1050+4071620</f>
        <v>4072670</v>
      </c>
      <c r="G14" s="1034">
        <f t="shared" si="1"/>
        <v>0</v>
      </c>
    </row>
    <row r="15" spans="1:8" s="570" customFormat="1" ht="29.25" customHeight="1" x14ac:dyDescent="0.2">
      <c r="A15" s="1125" t="s">
        <v>837</v>
      </c>
      <c r="B15" s="1037">
        <v>127000</v>
      </c>
      <c r="C15" s="1035" t="s">
        <v>951</v>
      </c>
      <c r="D15" s="1036"/>
      <c r="E15" s="1036"/>
      <c r="F15" s="1036">
        <v>127000</v>
      </c>
      <c r="G15" s="635">
        <f t="shared" si="1"/>
        <v>0</v>
      </c>
    </row>
    <row r="16" spans="1:8" s="570" customFormat="1" ht="25.5" x14ac:dyDescent="0.2">
      <c r="A16" s="1125" t="s">
        <v>873</v>
      </c>
      <c r="B16" s="1037">
        <f>1369240+500000-50800+31390</f>
        <v>1849830</v>
      </c>
      <c r="C16" s="1035" t="s">
        <v>839</v>
      </c>
      <c r="D16" s="1036">
        <f>455240+694590</f>
        <v>1149830</v>
      </c>
      <c r="E16" s="1036"/>
      <c r="F16" s="1036">
        <f>700000</f>
        <v>700000</v>
      </c>
      <c r="G16" s="635">
        <f t="shared" si="1"/>
        <v>0</v>
      </c>
    </row>
    <row r="17" spans="1:7" s="569" customFormat="1" x14ac:dyDescent="0.2">
      <c r="A17" s="1123" t="s">
        <v>574</v>
      </c>
      <c r="B17" s="1122">
        <v>254000</v>
      </c>
      <c r="C17" s="1032" t="s">
        <v>951</v>
      </c>
      <c r="D17" s="632"/>
      <c r="E17" s="632"/>
      <c r="F17" s="632">
        <v>254000</v>
      </c>
      <c r="G17" s="1034">
        <f t="shared" si="1"/>
        <v>0</v>
      </c>
    </row>
    <row r="18" spans="1:7" s="571" customFormat="1" ht="15.75" customHeight="1" x14ac:dyDescent="0.2">
      <c r="A18" s="1123" t="s">
        <v>653</v>
      </c>
      <c r="B18" s="1122">
        <v>30000000</v>
      </c>
      <c r="C18" s="1032" t="s">
        <v>879</v>
      </c>
      <c r="D18" s="632">
        <f>2679620+26934922+85458</f>
        <v>29700000</v>
      </c>
      <c r="E18" s="632"/>
      <c r="F18" s="632">
        <v>300000</v>
      </c>
      <c r="G18" s="1034">
        <f t="shared" si="1"/>
        <v>0</v>
      </c>
    </row>
    <row r="19" spans="1:7" s="570" customFormat="1" ht="15.75" customHeight="1" x14ac:dyDescent="0.2">
      <c r="A19" s="1123" t="s">
        <v>654</v>
      </c>
      <c r="B19" s="1037">
        <v>184400236</v>
      </c>
      <c r="C19" s="1035" t="s">
        <v>879</v>
      </c>
      <c r="D19" s="1036">
        <v>8473000</v>
      </c>
      <c r="E19" s="1036">
        <v>26204408</v>
      </c>
      <c r="F19" s="1036">
        <v>149722828</v>
      </c>
      <c r="G19" s="635">
        <f t="shared" si="1"/>
        <v>0</v>
      </c>
    </row>
    <row r="20" spans="1:7" ht="15.75" customHeight="1" x14ac:dyDescent="0.2">
      <c r="A20" s="1123" t="s">
        <v>836</v>
      </c>
      <c r="B20" s="1122">
        <f>97575000+1809000-524600</f>
        <v>98859400</v>
      </c>
      <c r="C20" s="1032" t="s">
        <v>744</v>
      </c>
      <c r="D20" s="632">
        <v>89909035</v>
      </c>
      <c r="E20" s="632"/>
      <c r="F20" s="632">
        <v>8950365</v>
      </c>
      <c r="G20" s="1034">
        <f t="shared" si="1"/>
        <v>0</v>
      </c>
    </row>
    <row r="21" spans="1:7" ht="33" customHeight="1" x14ac:dyDescent="0.2">
      <c r="A21" s="1125" t="s">
        <v>872</v>
      </c>
      <c r="B21" s="1037">
        <f>39476378+212598+10311024+2667000+24742856+5744658</f>
        <v>83154514</v>
      </c>
      <c r="C21" s="1035" t="s">
        <v>744</v>
      </c>
      <c r="D21" s="1036">
        <v>1600000</v>
      </c>
      <c r="E21" s="1036">
        <f>10311024-553313+5744658</f>
        <v>15502369</v>
      </c>
      <c r="F21" s="1036">
        <f>38642289+2667000+24742856</f>
        <v>66052145</v>
      </c>
      <c r="G21" s="635">
        <f t="shared" si="1"/>
        <v>0</v>
      </c>
    </row>
    <row r="22" spans="1:7" ht="25.5" x14ac:dyDescent="0.2">
      <c r="A22" s="1125" t="s">
        <v>874</v>
      </c>
      <c r="B22" s="1037">
        <f>2360000+637200+1310</f>
        <v>2998510</v>
      </c>
      <c r="C22" s="1035" t="s">
        <v>744</v>
      </c>
      <c r="D22" s="1036"/>
      <c r="E22" s="1036"/>
      <c r="F22" s="1036">
        <f>2997200+1310</f>
        <v>2998510</v>
      </c>
      <c r="G22" s="635">
        <f t="shared" si="1"/>
        <v>0</v>
      </c>
    </row>
    <row r="23" spans="1:7" ht="25.5" x14ac:dyDescent="0.2">
      <c r="A23" s="1125" t="s">
        <v>875</v>
      </c>
      <c r="B23" s="1037">
        <f>3937008+1062992-747061-207385+454446</f>
        <v>4500000</v>
      </c>
      <c r="C23" s="1035" t="s">
        <v>744</v>
      </c>
      <c r="D23" s="1036"/>
      <c r="E23" s="1036"/>
      <c r="F23" s="1036">
        <f>5000000-747061-207385+454446</f>
        <v>4500000</v>
      </c>
      <c r="G23" s="635">
        <f t="shared" si="1"/>
        <v>0</v>
      </c>
    </row>
    <row r="24" spans="1:7" ht="25.5" x14ac:dyDescent="0.2">
      <c r="A24" s="1125" t="s">
        <v>877</v>
      </c>
      <c r="B24" s="1037">
        <f>1547000+417690</f>
        <v>1964690</v>
      </c>
      <c r="C24" s="1035" t="s">
        <v>744</v>
      </c>
      <c r="D24" s="1036">
        <v>1964690</v>
      </c>
      <c r="E24" s="1036"/>
      <c r="F24" s="1036">
        <v>0</v>
      </c>
      <c r="G24" s="635">
        <f t="shared" si="1"/>
        <v>0</v>
      </c>
    </row>
    <row r="25" spans="1:7" x14ac:dyDescent="0.2">
      <c r="A25" s="1125" t="s">
        <v>933</v>
      </c>
      <c r="B25" s="1037">
        <f>239013622</f>
        <v>239013622</v>
      </c>
      <c r="C25" s="1035" t="s">
        <v>932</v>
      </c>
      <c r="D25" s="1036"/>
      <c r="E25" s="1036"/>
      <c r="F25" s="1036">
        <f>239013622</f>
        <v>239013622</v>
      </c>
      <c r="G25" s="635">
        <f t="shared" si="1"/>
        <v>0</v>
      </c>
    </row>
    <row r="26" spans="1:7" x14ac:dyDescent="0.2">
      <c r="A26" s="1125" t="s">
        <v>1039</v>
      </c>
      <c r="B26" s="1037">
        <f>8786521-10371-457258</f>
        <v>8318892</v>
      </c>
      <c r="C26" s="1035" t="s">
        <v>744</v>
      </c>
      <c r="D26" s="1036"/>
      <c r="E26" s="1036"/>
      <c r="F26" s="1036">
        <f>8786521-10371-457258</f>
        <v>8318892</v>
      </c>
      <c r="G26" s="1020">
        <f t="shared" si="1"/>
        <v>0</v>
      </c>
    </row>
    <row r="27" spans="1:7" x14ac:dyDescent="0.2">
      <c r="A27" s="1125" t="s">
        <v>1038</v>
      </c>
      <c r="B27" s="1037">
        <f>4290000-281214+1242159+259455</f>
        <v>5510400</v>
      </c>
      <c r="C27" s="1035" t="s">
        <v>1037</v>
      </c>
      <c r="D27" s="1138"/>
      <c r="E27" s="1138"/>
      <c r="F27" s="1036">
        <f>4290000-281214+1242159+259455</f>
        <v>5510400</v>
      </c>
      <c r="G27" s="1020">
        <f>B27-D27-F27-E27</f>
        <v>0</v>
      </c>
    </row>
    <row r="28" spans="1:7" ht="25.5" x14ac:dyDescent="0.2">
      <c r="A28" s="1125" t="s">
        <v>931</v>
      </c>
      <c r="B28" s="1037">
        <v>145000000</v>
      </c>
      <c r="C28" s="1035" t="s">
        <v>932</v>
      </c>
      <c r="D28" s="1036"/>
      <c r="E28" s="1036"/>
      <c r="F28" s="1036">
        <f>165000000-20000000</f>
        <v>145000000</v>
      </c>
      <c r="G28" s="635">
        <f>B28-D28-F28-E28</f>
        <v>0</v>
      </c>
    </row>
    <row r="29" spans="1:7" ht="25.5" x14ac:dyDescent="0.2">
      <c r="A29" s="1319" t="s">
        <v>956</v>
      </c>
      <c r="B29" s="1037">
        <v>3736941</v>
      </c>
      <c r="C29" s="1035" t="s">
        <v>744</v>
      </c>
      <c r="D29" s="1036">
        <v>1245646</v>
      </c>
      <c r="E29" s="1036"/>
      <c r="F29" s="1036">
        <v>2491295</v>
      </c>
      <c r="G29" s="635">
        <f>B29-D29-F29-E29</f>
        <v>0</v>
      </c>
    </row>
    <row r="30" spans="1:7" x14ac:dyDescent="0.2">
      <c r="A30" s="1319" t="s">
        <v>958</v>
      </c>
      <c r="B30" s="1037">
        <v>300000</v>
      </c>
      <c r="C30" s="1035" t="s">
        <v>951</v>
      </c>
      <c r="D30" s="1036">
        <v>0</v>
      </c>
      <c r="E30" s="1036"/>
      <c r="F30" s="1036">
        <v>300000</v>
      </c>
      <c r="G30" s="635">
        <f>B30-D30-F30-E30</f>
        <v>0</v>
      </c>
    </row>
    <row r="31" spans="1:7" ht="25.5" x14ac:dyDescent="0.2">
      <c r="A31" s="1154" t="s">
        <v>874</v>
      </c>
      <c r="B31" s="1162">
        <v>19331097</v>
      </c>
      <c r="C31" s="1032" t="s">
        <v>744</v>
      </c>
      <c r="D31" s="1033"/>
      <c r="E31" s="1033">
        <v>4109761</v>
      </c>
      <c r="F31" s="1033">
        <v>15221336</v>
      </c>
      <c r="G31" s="1034">
        <f>B31-D31-E31-F31</f>
        <v>0</v>
      </c>
    </row>
    <row r="32" spans="1:7" x14ac:dyDescent="0.2">
      <c r="A32" s="1205" t="s">
        <v>1036</v>
      </c>
      <c r="B32" s="1162">
        <v>170899024</v>
      </c>
      <c r="C32" s="1032" t="s">
        <v>1037</v>
      </c>
      <c r="D32" s="1151"/>
      <c r="E32" s="1033">
        <v>33462776</v>
      </c>
      <c r="F32" s="1033">
        <v>137436248</v>
      </c>
      <c r="G32" s="1034">
        <f t="shared" ref="G32:G36" si="2">B32-D32-E32-F32</f>
        <v>0</v>
      </c>
    </row>
    <row r="33" spans="1:7" x14ac:dyDescent="0.2">
      <c r="A33" s="1205" t="s">
        <v>1062</v>
      </c>
      <c r="B33" s="1228">
        <v>300000</v>
      </c>
      <c r="C33" s="1119" t="s">
        <v>951</v>
      </c>
      <c r="D33" s="1229"/>
      <c r="E33" s="1229"/>
      <c r="F33" s="1229">
        <v>300000</v>
      </c>
      <c r="G33" s="1206"/>
    </row>
    <row r="34" spans="1:7" x14ac:dyDescent="0.2">
      <c r="A34" s="1230" t="s">
        <v>1058</v>
      </c>
      <c r="B34" s="1228">
        <v>46228000</v>
      </c>
      <c r="C34" s="1119" t="s">
        <v>1059</v>
      </c>
      <c r="D34" s="1229"/>
      <c r="E34" s="1229"/>
      <c r="F34" s="1229">
        <v>46228000</v>
      </c>
      <c r="G34" s="1034">
        <f t="shared" si="2"/>
        <v>0</v>
      </c>
    </row>
    <row r="35" spans="1:7" x14ac:dyDescent="0.2">
      <c r="A35" s="1230" t="s">
        <v>1060</v>
      </c>
      <c r="B35" s="1162">
        <v>6915150</v>
      </c>
      <c r="C35" s="1032" t="s">
        <v>1037</v>
      </c>
      <c r="D35" s="1033"/>
      <c r="E35" s="1033"/>
      <c r="F35" s="1033">
        <v>6915150</v>
      </c>
      <c r="G35" s="1034">
        <f t="shared" si="2"/>
        <v>0</v>
      </c>
    </row>
    <row r="36" spans="1:7" ht="13.5" thickBot="1" x14ac:dyDescent="0.25">
      <c r="A36" s="1231" t="s">
        <v>1061</v>
      </c>
      <c r="B36" s="1232">
        <v>23073440</v>
      </c>
      <c r="C36" s="1233" t="s">
        <v>1059</v>
      </c>
      <c r="D36" s="1234"/>
      <c r="E36" s="1234"/>
      <c r="F36" s="1234">
        <v>23073440</v>
      </c>
      <c r="G36" s="1034">
        <f t="shared" si="2"/>
        <v>0</v>
      </c>
    </row>
    <row r="37" spans="1:7" s="398" customFormat="1" ht="13.5" thickBot="1" x14ac:dyDescent="0.25">
      <c r="A37" s="799" t="s">
        <v>696</v>
      </c>
      <c r="B37" s="800">
        <f>SUM(B38:B40)</f>
        <v>622671</v>
      </c>
      <c r="C37" s="801"/>
      <c r="D37" s="802"/>
      <c r="E37" s="802"/>
      <c r="F37" s="802">
        <f>SUM(F38:F40)</f>
        <v>622671</v>
      </c>
      <c r="G37" s="803">
        <f t="shared" si="1"/>
        <v>0</v>
      </c>
    </row>
    <row r="38" spans="1:7" s="569" customFormat="1" x14ac:dyDescent="0.2">
      <c r="A38" s="984" t="s">
        <v>563</v>
      </c>
      <c r="B38" s="1294">
        <f>4450010-2724150-1714500</f>
        <v>11360</v>
      </c>
      <c r="C38" s="792" t="s">
        <v>951</v>
      </c>
      <c r="D38" s="797"/>
      <c r="E38" s="797"/>
      <c r="F38" s="1256">
        <f>4450010-2724150-1714500</f>
        <v>11360</v>
      </c>
      <c r="G38" s="798">
        <f t="shared" si="1"/>
        <v>0</v>
      </c>
    </row>
    <row r="39" spans="1:7" s="398" customFormat="1" x14ac:dyDescent="0.2">
      <c r="A39" s="985" t="s">
        <v>695</v>
      </c>
      <c r="B39" s="1294">
        <f>565000-33689</f>
        <v>531311</v>
      </c>
      <c r="C39" s="1032" t="s">
        <v>951</v>
      </c>
      <c r="D39" s="632"/>
      <c r="E39" s="632"/>
      <c r="F39" s="1256">
        <f>565000-33689</f>
        <v>531311</v>
      </c>
      <c r="G39" s="635">
        <f t="shared" si="1"/>
        <v>0</v>
      </c>
    </row>
    <row r="40" spans="1:7" s="398" customFormat="1" ht="27" customHeight="1" thickBot="1" x14ac:dyDescent="0.25">
      <c r="A40" s="986" t="s">
        <v>838</v>
      </c>
      <c r="B40" s="636">
        <v>80000</v>
      </c>
      <c r="C40" s="611" t="s">
        <v>951</v>
      </c>
      <c r="D40" s="637"/>
      <c r="E40" s="637"/>
      <c r="F40" s="637">
        <v>80000</v>
      </c>
      <c r="G40" s="638">
        <f t="shared" si="1"/>
        <v>0</v>
      </c>
    </row>
    <row r="41" spans="1:7" s="571" customFormat="1" ht="15.75" customHeight="1" thickBot="1" x14ac:dyDescent="0.25">
      <c r="A41" s="1044" t="s">
        <v>697</v>
      </c>
      <c r="B41" s="1042">
        <f>SUM(B42:B42)</f>
        <v>904213</v>
      </c>
      <c r="C41" s="1043"/>
      <c r="D41" s="1042">
        <f>SUM(D42:D42)</f>
        <v>0</v>
      </c>
      <c r="E41" s="1042"/>
      <c r="F41" s="1042">
        <f>SUM(F42:F42)</f>
        <v>904213</v>
      </c>
      <c r="G41" s="1031">
        <f t="shared" si="1"/>
        <v>0</v>
      </c>
    </row>
    <row r="42" spans="1:7" s="570" customFormat="1" ht="15.75" customHeight="1" thickBot="1" x14ac:dyDescent="0.25">
      <c r="A42" s="1045" t="s">
        <v>662</v>
      </c>
      <c r="B42" s="1167">
        <f>1206500-74150-27424+62992+17008-280713</f>
        <v>904213</v>
      </c>
      <c r="C42" s="1039" t="s">
        <v>951</v>
      </c>
      <c r="D42" s="1040"/>
      <c r="E42" s="1040"/>
      <c r="F42" s="1168">
        <f>1206500-74150-27424+62992+17008-280713</f>
        <v>904213</v>
      </c>
      <c r="G42" s="1041">
        <f t="shared" si="1"/>
        <v>0</v>
      </c>
    </row>
    <row r="43" spans="1:7" s="398" customFormat="1" ht="15.75" customHeight="1" thickBot="1" x14ac:dyDescent="0.25">
      <c r="A43" s="987" t="s">
        <v>698</v>
      </c>
      <c r="B43" s="1042">
        <f>SUM(B44:B48)</f>
        <v>8628683</v>
      </c>
      <c r="C43" s="1043"/>
      <c r="D43" s="1042">
        <f>SUM(D44:D48)</f>
        <v>0</v>
      </c>
      <c r="E43" s="1042"/>
      <c r="F43" s="1042">
        <f>SUM(F44:F48)</f>
        <v>8628683</v>
      </c>
      <c r="G43" s="1031">
        <f t="shared" si="1"/>
        <v>0</v>
      </c>
    </row>
    <row r="44" spans="1:7" s="398" customFormat="1" ht="15.75" customHeight="1" x14ac:dyDescent="0.2">
      <c r="A44" s="988" t="s">
        <v>663</v>
      </c>
      <c r="B44" s="1038">
        <v>2887500</v>
      </c>
      <c r="C44" s="1039" t="s">
        <v>951</v>
      </c>
      <c r="D44" s="1040"/>
      <c r="E44" s="877"/>
      <c r="F44" s="1040">
        <v>2887500</v>
      </c>
      <c r="G44" s="878">
        <f t="shared" si="1"/>
        <v>0</v>
      </c>
    </row>
    <row r="45" spans="1:7" s="398" customFormat="1" ht="15.75" customHeight="1" x14ac:dyDescent="0.2">
      <c r="A45" s="990" t="s">
        <v>1070</v>
      </c>
      <c r="B45" s="875">
        <v>112338</v>
      </c>
      <c r="C45" s="876" t="s">
        <v>744</v>
      </c>
      <c r="D45" s="877"/>
      <c r="E45" s="877"/>
      <c r="F45" s="877">
        <v>112338</v>
      </c>
      <c r="G45" s="878">
        <f>B45-D45-F45-E45</f>
        <v>0</v>
      </c>
    </row>
    <row r="46" spans="1:7" s="398" customFormat="1" ht="25.5" x14ac:dyDescent="0.2">
      <c r="A46" s="1235" t="s">
        <v>1071</v>
      </c>
      <c r="B46" s="875">
        <f>1455000+106305+96250</f>
        <v>1657555</v>
      </c>
      <c r="C46" s="876" t="s">
        <v>951</v>
      </c>
      <c r="D46" s="877"/>
      <c r="E46" s="877"/>
      <c r="F46" s="877">
        <f>1455000+106305+96250</f>
        <v>1657555</v>
      </c>
      <c r="G46" s="878"/>
    </row>
    <row r="47" spans="1:7" s="398" customFormat="1" ht="15.75" customHeight="1" x14ac:dyDescent="0.2">
      <c r="A47" s="990" t="s">
        <v>955</v>
      </c>
      <c r="B47" s="875">
        <f>660400+72390</f>
        <v>732790</v>
      </c>
      <c r="C47" s="876" t="s">
        <v>951</v>
      </c>
      <c r="D47" s="877"/>
      <c r="E47" s="877"/>
      <c r="F47" s="877">
        <f>660400+72390</f>
        <v>732790</v>
      </c>
      <c r="G47" s="1017">
        <f t="shared" si="1"/>
        <v>0</v>
      </c>
    </row>
    <row r="48" spans="1:7" s="588" customFormat="1" ht="15.75" customHeight="1" thickBot="1" x14ac:dyDescent="0.25">
      <c r="A48" s="990" t="s">
        <v>850</v>
      </c>
      <c r="B48" s="875">
        <f>3238500</f>
        <v>3238500</v>
      </c>
      <c r="C48" s="876" t="s">
        <v>951</v>
      </c>
      <c r="D48" s="877"/>
      <c r="E48" s="877"/>
      <c r="F48" s="877">
        <v>3238500</v>
      </c>
      <c r="G48" s="1016">
        <f t="shared" si="1"/>
        <v>0</v>
      </c>
    </row>
    <row r="49" spans="1:7" s="589" customFormat="1" ht="35.25" customHeight="1" thickBot="1" x14ac:dyDescent="0.25">
      <c r="A49" s="989" t="s">
        <v>700</v>
      </c>
      <c r="B49" s="1042">
        <f>SUM(B50:B53)</f>
        <v>24940494</v>
      </c>
      <c r="C49" s="1043"/>
      <c r="D49" s="1042">
        <f>SUM(D50:D53)</f>
        <v>0</v>
      </c>
      <c r="E49" s="1042"/>
      <c r="F49" s="1042">
        <f>SUM(F50:F53)</f>
        <v>24940494</v>
      </c>
      <c r="G49" s="1031">
        <f t="shared" si="1"/>
        <v>0</v>
      </c>
    </row>
    <row r="50" spans="1:7" s="571" customFormat="1" ht="21" customHeight="1" x14ac:dyDescent="0.2">
      <c r="A50" s="1126" t="s">
        <v>662</v>
      </c>
      <c r="B50" s="1248">
        <f>5321151+774553+200000</f>
        <v>6295704</v>
      </c>
      <c r="C50" s="1128" t="s">
        <v>951</v>
      </c>
      <c r="D50" s="1129"/>
      <c r="E50" s="1129"/>
      <c r="F50" s="1251">
        <f>5321151+774553+200000</f>
        <v>6295704</v>
      </c>
      <c r="G50" s="878">
        <f t="shared" si="1"/>
        <v>0</v>
      </c>
    </row>
    <row r="51" spans="1:7" s="571" customFormat="1" ht="21" customHeight="1" x14ac:dyDescent="0.2">
      <c r="A51" s="1126" t="s">
        <v>563</v>
      </c>
      <c r="B51" s="1127">
        <v>508000</v>
      </c>
      <c r="C51" s="1128" t="s">
        <v>951</v>
      </c>
      <c r="D51" s="1129"/>
      <c r="E51" s="1129"/>
      <c r="F51" s="1129">
        <v>508000</v>
      </c>
      <c r="G51" s="878">
        <f t="shared" si="1"/>
        <v>0</v>
      </c>
    </row>
    <row r="52" spans="1:7" s="571" customFormat="1" ht="21" customHeight="1" x14ac:dyDescent="0.2">
      <c r="A52" s="1130" t="s">
        <v>851</v>
      </c>
      <c r="B52" s="1038">
        <v>1053800</v>
      </c>
      <c r="C52" s="1039" t="s">
        <v>951</v>
      </c>
      <c r="D52" s="1040">
        <v>0</v>
      </c>
      <c r="E52" s="1040"/>
      <c r="F52" s="1040">
        <v>1053800</v>
      </c>
      <c r="G52" s="1041">
        <f t="shared" si="1"/>
        <v>0</v>
      </c>
    </row>
    <row r="53" spans="1:7" s="571" customFormat="1" ht="21" customHeight="1" thickBot="1" x14ac:dyDescent="0.25">
      <c r="A53" s="990" t="s">
        <v>852</v>
      </c>
      <c r="B53" s="875">
        <f>18860990-1778000</f>
        <v>17082990</v>
      </c>
      <c r="C53" s="876" t="s">
        <v>951</v>
      </c>
      <c r="D53" s="1168"/>
      <c r="E53" s="1211"/>
      <c r="F53" s="875">
        <f>18860990-1778000</f>
        <v>17082990</v>
      </c>
      <c r="G53" s="1237">
        <f t="shared" si="1"/>
        <v>0</v>
      </c>
    </row>
    <row r="54" spans="1:7" s="398" customFormat="1" ht="21" customHeight="1" thickBot="1" x14ac:dyDescent="0.25">
      <c r="A54" s="991" t="s">
        <v>699</v>
      </c>
      <c r="B54" s="879">
        <f>SUM(B55:B56)</f>
        <v>1788900</v>
      </c>
      <c r="C54" s="880"/>
      <c r="D54" s="879">
        <f>SUM(D55:D55)</f>
        <v>0</v>
      </c>
      <c r="E54" s="879"/>
      <c r="F54" s="879">
        <f>SUM(F55:F56)</f>
        <v>1788900</v>
      </c>
      <c r="G54" s="881">
        <f>B54-D54-F54-E54</f>
        <v>0</v>
      </c>
    </row>
    <row r="55" spans="1:7" s="569" customFormat="1" ht="19.5" customHeight="1" x14ac:dyDescent="0.2">
      <c r="A55" s="1320" t="s">
        <v>853</v>
      </c>
      <c r="B55" s="1292">
        <f>523597-125748-33952-116533-31464+750000</f>
        <v>965900</v>
      </c>
      <c r="C55" s="899" t="s">
        <v>951</v>
      </c>
      <c r="D55" s="898"/>
      <c r="E55" s="898"/>
      <c r="F55" s="898">
        <f>523597-125748-33952-116533-31464+750000</f>
        <v>965900</v>
      </c>
      <c r="G55" s="1019">
        <f>B55-D55-F55-E55</f>
        <v>0</v>
      </c>
    </row>
    <row r="56" spans="1:7" s="569" customFormat="1" ht="19.5" customHeight="1" thickBot="1" x14ac:dyDescent="0.25">
      <c r="A56" s="1126" t="s">
        <v>563</v>
      </c>
      <c r="B56" s="1293">
        <f>20000+803000</f>
        <v>823000</v>
      </c>
      <c r="C56" s="1249" t="s">
        <v>951</v>
      </c>
      <c r="D56" s="1250"/>
      <c r="E56" s="1250"/>
      <c r="F56" s="1250">
        <f>20000+803000</f>
        <v>823000</v>
      </c>
      <c r="G56" s="1017">
        <f>B56-D56-F56-E56</f>
        <v>0</v>
      </c>
    </row>
    <row r="57" spans="1:7" s="398" customFormat="1" ht="19.5" customHeight="1" thickBot="1" x14ac:dyDescent="0.25">
      <c r="A57" s="590" t="s">
        <v>661</v>
      </c>
      <c r="B57" s="992">
        <f>B54+B49+B43+B41+B37</f>
        <v>36884961</v>
      </c>
      <c r="C57" s="633"/>
      <c r="D57" s="633">
        <f>D54+D49+D43+D41+D37</f>
        <v>0</v>
      </c>
      <c r="E57" s="633"/>
      <c r="F57" s="633">
        <f>F54+F49+F43+F41+F37</f>
        <v>36884961</v>
      </c>
      <c r="G57" s="1031">
        <f>B57-D57-F57-E57</f>
        <v>0</v>
      </c>
    </row>
    <row r="58" spans="1:7" s="398" customFormat="1" ht="19.5" customHeight="1" thickBot="1" x14ac:dyDescent="0.25">
      <c r="A58" s="590" t="s">
        <v>701</v>
      </c>
      <c r="B58" s="992">
        <f>B57+B7</f>
        <v>1296232093</v>
      </c>
      <c r="C58" s="633"/>
      <c r="D58" s="633">
        <f>D57+D7</f>
        <v>221746213</v>
      </c>
      <c r="E58" s="633">
        <f>+E57+E7</f>
        <v>95880411</v>
      </c>
      <c r="F58" s="633">
        <f>F57+F7</f>
        <v>978605469</v>
      </c>
      <c r="G58" s="1031">
        <f>B58-D58-F58-E58</f>
        <v>0</v>
      </c>
    </row>
    <row r="59" spans="1:7" x14ac:dyDescent="0.2">
      <c r="F59" s="398">
        <f>'1. sz.mell. '!C121</f>
        <v>978605469</v>
      </c>
    </row>
    <row r="60" spans="1:7" x14ac:dyDescent="0.2">
      <c r="F60" s="398">
        <f>F58-F59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31"/>
  <sheetViews>
    <sheetView zoomScale="130" zoomScaleNormal="130" zoomScaleSheetLayoutView="115" workbookViewId="0">
      <selection activeCell="A2" sqref="A2"/>
    </sheetView>
  </sheetViews>
  <sheetFormatPr defaultRowHeight="12.75" x14ac:dyDescent="0.2"/>
  <cols>
    <col min="1" max="1" width="60.6640625" style="69" customWidth="1"/>
    <col min="2" max="2" width="15.6640625" style="31" customWidth="1"/>
    <col min="3" max="3" width="16.33203125" style="31" customWidth="1"/>
    <col min="4" max="5" width="18" style="31" customWidth="1"/>
    <col min="6" max="6" width="16.6640625" style="31" customWidth="1"/>
    <col min="7" max="7" width="18.83203125" style="31" customWidth="1"/>
    <col min="8" max="9" width="12.83203125" style="31" customWidth="1"/>
    <col min="10" max="10" width="13.83203125" style="31" customWidth="1"/>
    <col min="11" max="16384" width="9.33203125" style="31"/>
  </cols>
  <sheetData>
    <row r="1" spans="1:8" ht="15.75" x14ac:dyDescent="0.2">
      <c r="A1" s="1352" t="str">
        <f>CONCATENATE("9. melléklet"," ",ALAPADATOK!A7," ",ALAPADATOK!B7," ",ALAPADATOK!C7," ",ALAPADATOK!D8," ",ALAPADATOK!E7," ",ALAPADATOK!F7," ",ALAPADATOK!G7," ",ALAPADATOK!H7)</f>
        <v>9. melléklet az 5 / 2023. ( II.24. ) önkormányzati rendelethez</v>
      </c>
      <c r="B1" s="1352"/>
      <c r="C1" s="1352"/>
      <c r="D1" s="1352"/>
      <c r="E1" s="1352"/>
      <c r="F1" s="1352"/>
      <c r="G1" s="1352"/>
    </row>
    <row r="3" spans="1:8" ht="24.75" customHeight="1" x14ac:dyDescent="0.2">
      <c r="A3" s="1353" t="s">
        <v>5</v>
      </c>
      <c r="B3" s="1353"/>
      <c r="C3" s="1353"/>
      <c r="D3" s="1353"/>
      <c r="E3" s="1353"/>
      <c r="F3" s="1353"/>
      <c r="G3" s="1353"/>
    </row>
    <row r="4" spans="1:8" ht="23.25" customHeight="1" thickBot="1" x14ac:dyDescent="0.3">
      <c r="B4" s="979"/>
      <c r="C4" s="979"/>
      <c r="D4" s="979"/>
      <c r="E4" s="979"/>
      <c r="F4" s="979"/>
      <c r="G4" s="975"/>
    </row>
    <row r="5" spans="1:8" s="126" customFormat="1" ht="48.75" customHeight="1" thickBot="1" x14ac:dyDescent="0.25">
      <c r="A5" s="591" t="s">
        <v>893</v>
      </c>
      <c r="B5" s="592" t="s">
        <v>60</v>
      </c>
      <c r="C5" s="592" t="s">
        <v>61</v>
      </c>
      <c r="D5" s="592" t="s">
        <v>952</v>
      </c>
      <c r="E5" s="400" t="s">
        <v>953</v>
      </c>
      <c r="F5" s="592" t="s">
        <v>944</v>
      </c>
      <c r="G5" s="593" t="s">
        <v>959</v>
      </c>
      <c r="H5" s="266"/>
    </row>
    <row r="6" spans="1:8" ht="15" customHeight="1" thickBot="1" x14ac:dyDescent="0.25">
      <c r="A6" s="1164">
        <v>1</v>
      </c>
      <c r="B6" s="594">
        <v>2</v>
      </c>
      <c r="C6" s="595">
        <v>3</v>
      </c>
      <c r="D6" s="595">
        <v>4</v>
      </c>
      <c r="E6" s="595">
        <v>5</v>
      </c>
      <c r="F6" s="595">
        <v>6</v>
      </c>
      <c r="G6" s="596">
        <v>7</v>
      </c>
    </row>
    <row r="7" spans="1:8" ht="15" customHeight="1" thickBot="1" x14ac:dyDescent="0.25">
      <c r="A7" s="1044" t="s">
        <v>575</v>
      </c>
      <c r="B7" s="1042">
        <f>SUM(B8:B26)</f>
        <v>2750504946</v>
      </c>
      <c r="C7" s="1043"/>
      <c r="D7" s="1165">
        <f t="shared" ref="D7:F7" si="0">SUM(D8:D26)</f>
        <v>69447155</v>
      </c>
      <c r="E7" s="1165">
        <f t="shared" si="0"/>
        <v>65526257</v>
      </c>
      <c r="F7" s="1165">
        <f t="shared" si="0"/>
        <v>2615531534</v>
      </c>
      <c r="G7" s="1165">
        <f>SUM(G8:G26)</f>
        <v>0</v>
      </c>
    </row>
    <row r="8" spans="1:8" s="569" customFormat="1" ht="15.95" customHeight="1" x14ac:dyDescent="0.2">
      <c r="A8" s="1123" t="s">
        <v>651</v>
      </c>
      <c r="B8" s="1317">
        <f>80112238+101702816+14410+27198151+76736922</f>
        <v>285764537</v>
      </c>
      <c r="C8" s="1156" t="s">
        <v>879</v>
      </c>
      <c r="D8" s="1161">
        <f>80000+18962079</f>
        <v>19042079</v>
      </c>
      <c r="E8" s="1161">
        <v>27198151</v>
      </c>
      <c r="F8" s="1161">
        <f>162787385+76736922</f>
        <v>239524307</v>
      </c>
      <c r="G8" s="1158">
        <f>B8-D8-E8-F8</f>
        <v>0</v>
      </c>
    </row>
    <row r="9" spans="1:8" ht="15.95" customHeight="1" x14ac:dyDescent="0.2">
      <c r="A9" s="1318" t="s">
        <v>564</v>
      </c>
      <c r="B9" s="1162">
        <v>0</v>
      </c>
      <c r="C9" s="1032"/>
      <c r="D9" s="1033"/>
      <c r="E9" s="1033"/>
      <c r="F9" s="1033">
        <v>0</v>
      </c>
      <c r="G9" s="1034">
        <f t="shared" ref="G9:G19" si="1">B9-D9-E9-F9</f>
        <v>0</v>
      </c>
    </row>
    <row r="10" spans="1:8" s="303" customFormat="1" ht="15.95" customHeight="1" x14ac:dyDescent="0.2">
      <c r="A10" s="1123" t="s">
        <v>588</v>
      </c>
      <c r="B10" s="1162">
        <f>48292993+677185+322815+317500-202993-2424</f>
        <v>49405076</v>
      </c>
      <c r="C10" s="1032" t="s">
        <v>1018</v>
      </c>
      <c r="D10" s="1033">
        <f>36051833-1206500+14559743</f>
        <v>49405076</v>
      </c>
      <c r="E10" s="1033"/>
      <c r="F10" s="1033">
        <v>0</v>
      </c>
      <c r="G10" s="1034">
        <f t="shared" si="1"/>
        <v>0</v>
      </c>
    </row>
    <row r="11" spans="1:8" ht="15.95" customHeight="1" x14ac:dyDescent="0.2">
      <c r="A11" s="1124" t="s">
        <v>963</v>
      </c>
      <c r="B11" s="1162">
        <v>2794000</v>
      </c>
      <c r="C11" s="1032" t="s">
        <v>951</v>
      </c>
      <c r="D11" s="1033"/>
      <c r="E11" s="1033"/>
      <c r="F11" s="1033">
        <v>2794000</v>
      </c>
      <c r="G11" s="1034">
        <f t="shared" si="1"/>
        <v>0</v>
      </c>
    </row>
    <row r="12" spans="1:8" ht="15.95" customHeight="1" x14ac:dyDescent="0.2">
      <c r="A12" s="1123" t="s">
        <v>1040</v>
      </c>
      <c r="B12" s="1162">
        <v>400000</v>
      </c>
      <c r="C12" s="1032" t="s">
        <v>951</v>
      </c>
      <c r="D12" s="1151"/>
      <c r="E12" s="1151"/>
      <c r="F12" s="1033">
        <v>400000</v>
      </c>
      <c r="G12" s="1034">
        <f t="shared" si="1"/>
        <v>0</v>
      </c>
    </row>
    <row r="13" spans="1:8" x14ac:dyDescent="0.2">
      <c r="A13" s="1159" t="s">
        <v>878</v>
      </c>
      <c r="B13" s="1228">
        <f>47940700-1062168-286785</f>
        <v>46591747</v>
      </c>
      <c r="C13" s="1119" t="s">
        <v>744</v>
      </c>
      <c r="D13" s="1229"/>
      <c r="E13" s="1229"/>
      <c r="F13" s="1229">
        <f>36786462+9805285</f>
        <v>46591747</v>
      </c>
      <c r="G13" s="634">
        <f t="shared" si="1"/>
        <v>0</v>
      </c>
    </row>
    <row r="14" spans="1:8" x14ac:dyDescent="0.2">
      <c r="A14" s="1154" t="s">
        <v>739</v>
      </c>
      <c r="B14" s="1162">
        <f>5627218+3175000</f>
        <v>8802218</v>
      </c>
      <c r="C14" s="1032" t="s">
        <v>839</v>
      </c>
      <c r="D14" s="1033"/>
      <c r="E14" s="1033"/>
      <c r="F14" s="1033">
        <v>8802218</v>
      </c>
      <c r="G14" s="1034">
        <f t="shared" si="1"/>
        <v>0</v>
      </c>
    </row>
    <row r="15" spans="1:8" x14ac:dyDescent="0.2">
      <c r="A15" s="1154" t="s">
        <v>962</v>
      </c>
      <c r="B15" s="1162">
        <f>40987313-8476181-26418621</f>
        <v>6092511</v>
      </c>
      <c r="C15" s="1032" t="s">
        <v>744</v>
      </c>
      <c r="D15" s="1033"/>
      <c r="E15" s="1033"/>
      <c r="F15" s="1033">
        <f>40987313-8476181-26418621</f>
        <v>6092511</v>
      </c>
      <c r="G15" s="1034">
        <f t="shared" si="1"/>
        <v>0</v>
      </c>
    </row>
    <row r="16" spans="1:8" ht="25.5" x14ac:dyDescent="0.2">
      <c r="A16" s="1154" t="s">
        <v>874</v>
      </c>
      <c r="B16" s="1162">
        <f>586618264+158386931-1937394-523096-19331097-6985000-2695000-40856453</f>
        <v>672677155</v>
      </c>
      <c r="C16" s="1032" t="s">
        <v>744</v>
      </c>
      <c r="D16" s="1033"/>
      <c r="E16" s="1033"/>
      <c r="F16" s="1033">
        <f>586618264+158386931-1937394-523096-19331097-6985000-2695000-40856453</f>
        <v>672677155</v>
      </c>
      <c r="G16" s="1034">
        <f t="shared" si="1"/>
        <v>0</v>
      </c>
    </row>
    <row r="17" spans="1:7" ht="25.5" x14ac:dyDescent="0.2">
      <c r="A17" s="1154" t="s">
        <v>875</v>
      </c>
      <c r="B17" s="1162">
        <f>189589237+747061+207385-44090+38195-44089</f>
        <v>190493699</v>
      </c>
      <c r="C17" s="1032" t="s">
        <v>744</v>
      </c>
      <c r="D17" s="1033"/>
      <c r="E17" s="1033">
        <f>39317017-1103646+158824-44089</f>
        <v>38328106</v>
      </c>
      <c r="F17" s="1033">
        <f>153782518+1673065-4081388+1671+588237+207385-44090+38195</f>
        <v>152165593</v>
      </c>
      <c r="G17" s="1034">
        <f t="shared" si="1"/>
        <v>0</v>
      </c>
    </row>
    <row r="18" spans="1:7" ht="25.5" x14ac:dyDescent="0.2">
      <c r="A18" s="1154" t="s">
        <v>876</v>
      </c>
      <c r="B18" s="1162">
        <f>50000000+4968345</f>
        <v>54968345</v>
      </c>
      <c r="C18" s="1032" t="s">
        <v>744</v>
      </c>
      <c r="D18" s="1033">
        <v>1000000</v>
      </c>
      <c r="E18" s="1033"/>
      <c r="F18" s="1033">
        <f>49000000+4968345</f>
        <v>53968345</v>
      </c>
      <c r="G18" s="1034">
        <f t="shared" si="1"/>
        <v>0</v>
      </c>
    </row>
    <row r="19" spans="1:7" ht="25.5" x14ac:dyDescent="0.2">
      <c r="A19" s="1154" t="s">
        <v>877</v>
      </c>
      <c r="B19" s="1162">
        <f>200000000-3871338-260000-1056062-40000-3788820-491783-689718</f>
        <v>189802279</v>
      </c>
      <c r="C19" s="1032" t="s">
        <v>744</v>
      </c>
      <c r="D19" s="1033"/>
      <c r="E19" s="1033"/>
      <c r="F19" s="1033">
        <f>153782518+40990082-3788820-491783-689718</f>
        <v>189802279</v>
      </c>
      <c r="G19" s="1034">
        <f t="shared" si="1"/>
        <v>0</v>
      </c>
    </row>
    <row r="20" spans="1:7" x14ac:dyDescent="0.2">
      <c r="A20" s="1154" t="s">
        <v>934</v>
      </c>
      <c r="B20" s="1162">
        <v>295820280</v>
      </c>
      <c r="C20" s="1032" t="s">
        <v>932</v>
      </c>
      <c r="D20" s="1033"/>
      <c r="E20" s="1033"/>
      <c r="F20" s="1033">
        <v>295820280</v>
      </c>
      <c r="G20" s="1034">
        <f>B20-D20-E20-F20</f>
        <v>0</v>
      </c>
    </row>
    <row r="21" spans="1:7" ht="25.5" x14ac:dyDescent="0.2">
      <c r="A21" s="1208" t="s">
        <v>956</v>
      </c>
      <c r="B21" s="1209">
        <f>236673086+5908</f>
        <v>236678994</v>
      </c>
      <c r="C21" s="1035" t="s">
        <v>957</v>
      </c>
      <c r="D21" s="1236"/>
      <c r="E21" s="1236"/>
      <c r="F21" s="1236">
        <f>236673086+5908</f>
        <v>236678994</v>
      </c>
      <c r="G21" s="1034">
        <f t="shared" ref="G21:G25" si="2">B21-D21-E21-F21</f>
        <v>0</v>
      </c>
    </row>
    <row r="22" spans="1:7" x14ac:dyDescent="0.2">
      <c r="A22" s="1230" t="s">
        <v>1058</v>
      </c>
      <c r="B22" s="1209">
        <v>350344740</v>
      </c>
      <c r="C22" s="1032" t="s">
        <v>1059</v>
      </c>
      <c r="D22" s="1236"/>
      <c r="E22" s="1236"/>
      <c r="F22" s="1236">
        <v>350344740</v>
      </c>
      <c r="G22" s="1034">
        <f t="shared" si="2"/>
        <v>0</v>
      </c>
    </row>
    <row r="23" spans="1:7" x14ac:dyDescent="0.2">
      <c r="A23" s="1230" t="s">
        <v>1060</v>
      </c>
      <c r="B23" s="1209">
        <v>98171000</v>
      </c>
      <c r="C23" s="1032" t="s">
        <v>1037</v>
      </c>
      <c r="D23" s="1236"/>
      <c r="E23" s="1236"/>
      <c r="F23" s="1236">
        <v>98171000</v>
      </c>
      <c r="G23" s="1034">
        <f t="shared" si="2"/>
        <v>0</v>
      </c>
    </row>
    <row r="24" spans="1:7" x14ac:dyDescent="0.2">
      <c r="A24" s="1230" t="s">
        <v>1061</v>
      </c>
      <c r="B24" s="1037">
        <v>255268500</v>
      </c>
      <c r="C24" s="1032" t="s">
        <v>1059</v>
      </c>
      <c r="D24" s="1036"/>
      <c r="E24" s="1036"/>
      <c r="F24" s="1036">
        <v>255268500</v>
      </c>
      <c r="G24" s="1034">
        <f t="shared" si="2"/>
        <v>0</v>
      </c>
    </row>
    <row r="25" spans="1:7" x14ac:dyDescent="0.2">
      <c r="A25" s="1154" t="s">
        <v>1072</v>
      </c>
      <c r="B25" s="1122">
        <v>3999865</v>
      </c>
      <c r="C25" s="1032" t="s">
        <v>951</v>
      </c>
      <c r="D25" s="1256"/>
      <c r="E25" s="1256"/>
      <c r="F25" s="632">
        <v>3999865</v>
      </c>
      <c r="G25" s="1206">
        <f t="shared" si="2"/>
        <v>0</v>
      </c>
    </row>
    <row r="26" spans="1:7" ht="13.5" thickBot="1" x14ac:dyDescent="0.25">
      <c r="A26" s="1257" t="s">
        <v>1073</v>
      </c>
      <c r="B26" s="1252">
        <v>2430000</v>
      </c>
      <c r="C26" s="1233" t="s">
        <v>951</v>
      </c>
      <c r="D26" s="1253"/>
      <c r="E26" s="1253"/>
      <c r="F26" s="1254">
        <v>2430000</v>
      </c>
      <c r="G26" s="1255">
        <f t="shared" ref="G26" si="3">B26-D26-E26-F26</f>
        <v>0</v>
      </c>
    </row>
    <row r="27" spans="1:7" ht="13.5" thickBot="1" x14ac:dyDescent="0.25">
      <c r="A27" s="1044" t="s">
        <v>697</v>
      </c>
      <c r="B27" s="1042">
        <f>SUM(B28:B28)</f>
        <v>906900</v>
      </c>
      <c r="C27" s="1043"/>
      <c r="D27" s="1042">
        <f>SUM(D28:D28)</f>
        <v>0</v>
      </c>
      <c r="E27" s="1042"/>
      <c r="F27" s="1042">
        <f>SUM(F28:F28)</f>
        <v>906900</v>
      </c>
      <c r="G27" s="1031">
        <f>B27-D27-F27-E27</f>
        <v>0</v>
      </c>
    </row>
    <row r="28" spans="1:7" ht="13.5" thickBot="1" x14ac:dyDescent="0.25">
      <c r="A28" s="1045" t="s">
        <v>964</v>
      </c>
      <c r="B28" s="875">
        <f>596900+187318+48532+74150</f>
        <v>906900</v>
      </c>
      <c r="C28" s="1039" t="s">
        <v>951</v>
      </c>
      <c r="D28" s="1040"/>
      <c r="E28" s="1040"/>
      <c r="F28" s="877">
        <f>596900+187318+48532+74150</f>
        <v>906900</v>
      </c>
      <c r="G28" s="1041">
        <f>B28-D28-F28-E28</f>
        <v>0</v>
      </c>
    </row>
    <row r="29" spans="1:7" ht="13.5" thickBot="1" x14ac:dyDescent="0.25">
      <c r="A29" s="1160" t="s">
        <v>59</v>
      </c>
      <c r="B29" s="1163">
        <f>B7+B27</f>
        <v>2751411846</v>
      </c>
      <c r="C29" s="1030"/>
      <c r="D29" s="1030">
        <f>D7+D27</f>
        <v>69447155</v>
      </c>
      <c r="E29" s="1030">
        <f>E7+E27</f>
        <v>65526257</v>
      </c>
      <c r="F29" s="1030">
        <f>F7+F27</f>
        <v>2616438434</v>
      </c>
      <c r="G29" s="568">
        <v>0</v>
      </c>
    </row>
    <row r="30" spans="1:7" x14ac:dyDescent="0.2">
      <c r="F30" s="31">
        <f>'1. sz.mell. '!C123</f>
        <v>2616438434</v>
      </c>
    </row>
    <row r="31" spans="1:7" x14ac:dyDescent="0.2">
      <c r="F31" s="31">
        <f>F29-F30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K224"/>
  <sheetViews>
    <sheetView topLeftCell="A31" zoomScale="130" zoomScaleNormal="130" zoomScaleSheetLayoutView="40" workbookViewId="0">
      <selection activeCell="C13" sqref="C13"/>
    </sheetView>
  </sheetViews>
  <sheetFormatPr defaultRowHeight="12.75" x14ac:dyDescent="0.2"/>
  <cols>
    <col min="1" max="1" width="38.6640625" customWidth="1"/>
    <col min="2" max="4" width="24.83203125" customWidth="1"/>
    <col min="5" max="5" width="26.83203125" customWidth="1"/>
    <col min="7" max="7" width="12.6640625" customWidth="1"/>
    <col min="8" max="8" width="16.33203125" customWidth="1"/>
    <col min="9" max="9" width="15.1640625" bestFit="1" customWidth="1"/>
    <col min="10" max="10" width="17.83203125" customWidth="1"/>
    <col min="11" max="11" width="14" bestFit="1" customWidth="1"/>
    <col min="256" max="256" width="38.6640625" customWidth="1"/>
    <col min="257" max="259" width="24.83203125" customWidth="1"/>
    <col min="260" max="260" width="26.83203125" customWidth="1"/>
    <col min="261" max="261" width="5" bestFit="1" customWidth="1"/>
    <col min="512" max="512" width="38.6640625" customWidth="1"/>
    <col min="513" max="515" width="24.83203125" customWidth="1"/>
    <col min="516" max="516" width="26.83203125" customWidth="1"/>
    <col min="517" max="517" width="5" bestFit="1" customWidth="1"/>
    <col min="768" max="768" width="38.6640625" customWidth="1"/>
    <col min="769" max="771" width="24.83203125" customWidth="1"/>
    <col min="772" max="772" width="26.83203125" customWidth="1"/>
    <col min="773" max="773" width="5" bestFit="1" customWidth="1"/>
    <col min="1024" max="1024" width="38.6640625" customWidth="1"/>
    <col min="1025" max="1027" width="24.83203125" customWidth="1"/>
    <col min="1028" max="1028" width="26.83203125" customWidth="1"/>
    <col min="1029" max="1029" width="5" bestFit="1" customWidth="1"/>
    <col min="1280" max="1280" width="38.6640625" customWidth="1"/>
    <col min="1281" max="1283" width="24.83203125" customWidth="1"/>
    <col min="1284" max="1284" width="26.83203125" customWidth="1"/>
    <col min="1285" max="1285" width="5" bestFit="1" customWidth="1"/>
    <col min="1536" max="1536" width="38.6640625" customWidth="1"/>
    <col min="1537" max="1539" width="24.83203125" customWidth="1"/>
    <col min="1540" max="1540" width="26.83203125" customWidth="1"/>
    <col min="1541" max="1541" width="5" bestFit="1" customWidth="1"/>
    <col min="1792" max="1792" width="38.6640625" customWidth="1"/>
    <col min="1793" max="1795" width="24.83203125" customWidth="1"/>
    <col min="1796" max="1796" width="26.83203125" customWidth="1"/>
    <col min="1797" max="1797" width="5" bestFit="1" customWidth="1"/>
    <col min="2048" max="2048" width="38.6640625" customWidth="1"/>
    <col min="2049" max="2051" width="24.83203125" customWidth="1"/>
    <col min="2052" max="2052" width="26.83203125" customWidth="1"/>
    <col min="2053" max="2053" width="5" bestFit="1" customWidth="1"/>
    <col min="2304" max="2304" width="38.6640625" customWidth="1"/>
    <col min="2305" max="2307" width="24.83203125" customWidth="1"/>
    <col min="2308" max="2308" width="26.83203125" customWidth="1"/>
    <col min="2309" max="2309" width="5" bestFit="1" customWidth="1"/>
    <col min="2560" max="2560" width="38.6640625" customWidth="1"/>
    <col min="2561" max="2563" width="24.83203125" customWidth="1"/>
    <col min="2564" max="2564" width="26.83203125" customWidth="1"/>
    <col min="2565" max="2565" width="5" bestFit="1" customWidth="1"/>
    <col min="2816" max="2816" width="38.6640625" customWidth="1"/>
    <col min="2817" max="2819" width="24.83203125" customWidth="1"/>
    <col min="2820" max="2820" width="26.83203125" customWidth="1"/>
    <col min="2821" max="2821" width="5" bestFit="1" customWidth="1"/>
    <col min="3072" max="3072" width="38.6640625" customWidth="1"/>
    <col min="3073" max="3075" width="24.83203125" customWidth="1"/>
    <col min="3076" max="3076" width="26.83203125" customWidth="1"/>
    <col min="3077" max="3077" width="5" bestFit="1" customWidth="1"/>
    <col min="3328" max="3328" width="38.6640625" customWidth="1"/>
    <col min="3329" max="3331" width="24.83203125" customWidth="1"/>
    <col min="3332" max="3332" width="26.83203125" customWidth="1"/>
    <col min="3333" max="3333" width="5" bestFit="1" customWidth="1"/>
    <col min="3584" max="3584" width="38.6640625" customWidth="1"/>
    <col min="3585" max="3587" width="24.83203125" customWidth="1"/>
    <col min="3588" max="3588" width="26.83203125" customWidth="1"/>
    <col min="3589" max="3589" width="5" bestFit="1" customWidth="1"/>
    <col min="3840" max="3840" width="38.6640625" customWidth="1"/>
    <col min="3841" max="3843" width="24.83203125" customWidth="1"/>
    <col min="3844" max="3844" width="26.83203125" customWidth="1"/>
    <col min="3845" max="3845" width="5" bestFit="1" customWidth="1"/>
    <col min="4096" max="4096" width="38.6640625" customWidth="1"/>
    <col min="4097" max="4099" width="24.83203125" customWidth="1"/>
    <col min="4100" max="4100" width="26.83203125" customWidth="1"/>
    <col min="4101" max="4101" width="5" bestFit="1" customWidth="1"/>
    <col min="4352" max="4352" width="38.6640625" customWidth="1"/>
    <col min="4353" max="4355" width="24.83203125" customWidth="1"/>
    <col min="4356" max="4356" width="26.83203125" customWidth="1"/>
    <col min="4357" max="4357" width="5" bestFit="1" customWidth="1"/>
    <col min="4608" max="4608" width="38.6640625" customWidth="1"/>
    <col min="4609" max="4611" width="24.83203125" customWidth="1"/>
    <col min="4612" max="4612" width="26.83203125" customWidth="1"/>
    <col min="4613" max="4613" width="5" bestFit="1" customWidth="1"/>
    <col min="4864" max="4864" width="38.6640625" customWidth="1"/>
    <col min="4865" max="4867" width="24.83203125" customWidth="1"/>
    <col min="4868" max="4868" width="26.83203125" customWidth="1"/>
    <col min="4869" max="4869" width="5" bestFit="1" customWidth="1"/>
    <col min="5120" max="5120" width="38.6640625" customWidth="1"/>
    <col min="5121" max="5123" width="24.83203125" customWidth="1"/>
    <col min="5124" max="5124" width="26.83203125" customWidth="1"/>
    <col min="5125" max="5125" width="5" bestFit="1" customWidth="1"/>
    <col min="5376" max="5376" width="38.6640625" customWidth="1"/>
    <col min="5377" max="5379" width="24.83203125" customWidth="1"/>
    <col min="5380" max="5380" width="26.83203125" customWidth="1"/>
    <col min="5381" max="5381" width="5" bestFit="1" customWidth="1"/>
    <col min="5632" max="5632" width="38.6640625" customWidth="1"/>
    <col min="5633" max="5635" width="24.83203125" customWidth="1"/>
    <col min="5636" max="5636" width="26.83203125" customWidth="1"/>
    <col min="5637" max="5637" width="5" bestFit="1" customWidth="1"/>
    <col min="5888" max="5888" width="38.6640625" customWidth="1"/>
    <col min="5889" max="5891" width="24.83203125" customWidth="1"/>
    <col min="5892" max="5892" width="26.83203125" customWidth="1"/>
    <col min="5893" max="5893" width="5" bestFit="1" customWidth="1"/>
    <col min="6144" max="6144" width="38.6640625" customWidth="1"/>
    <col min="6145" max="6147" width="24.83203125" customWidth="1"/>
    <col min="6148" max="6148" width="26.83203125" customWidth="1"/>
    <col min="6149" max="6149" width="5" bestFit="1" customWidth="1"/>
    <col min="6400" max="6400" width="38.6640625" customWidth="1"/>
    <col min="6401" max="6403" width="24.83203125" customWidth="1"/>
    <col min="6404" max="6404" width="26.83203125" customWidth="1"/>
    <col min="6405" max="6405" width="5" bestFit="1" customWidth="1"/>
    <col min="6656" max="6656" width="38.6640625" customWidth="1"/>
    <col min="6657" max="6659" width="24.83203125" customWidth="1"/>
    <col min="6660" max="6660" width="26.83203125" customWidth="1"/>
    <col min="6661" max="6661" width="5" bestFit="1" customWidth="1"/>
    <col min="6912" max="6912" width="38.6640625" customWidth="1"/>
    <col min="6913" max="6915" width="24.83203125" customWidth="1"/>
    <col min="6916" max="6916" width="26.83203125" customWidth="1"/>
    <col min="6917" max="6917" width="5" bestFit="1" customWidth="1"/>
    <col min="7168" max="7168" width="38.6640625" customWidth="1"/>
    <col min="7169" max="7171" width="24.83203125" customWidth="1"/>
    <col min="7172" max="7172" width="26.83203125" customWidth="1"/>
    <col min="7173" max="7173" width="5" bestFit="1" customWidth="1"/>
    <col min="7424" max="7424" width="38.6640625" customWidth="1"/>
    <col min="7425" max="7427" width="24.83203125" customWidth="1"/>
    <col min="7428" max="7428" width="26.83203125" customWidth="1"/>
    <col min="7429" max="7429" width="5" bestFit="1" customWidth="1"/>
    <col min="7680" max="7680" width="38.6640625" customWidth="1"/>
    <col min="7681" max="7683" width="24.83203125" customWidth="1"/>
    <col min="7684" max="7684" width="26.83203125" customWidth="1"/>
    <col min="7685" max="7685" width="5" bestFit="1" customWidth="1"/>
    <col min="7936" max="7936" width="38.6640625" customWidth="1"/>
    <col min="7937" max="7939" width="24.83203125" customWidth="1"/>
    <col min="7940" max="7940" width="26.83203125" customWidth="1"/>
    <col min="7941" max="7941" width="5" bestFit="1" customWidth="1"/>
    <col min="8192" max="8192" width="38.6640625" customWidth="1"/>
    <col min="8193" max="8195" width="24.83203125" customWidth="1"/>
    <col min="8196" max="8196" width="26.83203125" customWidth="1"/>
    <col min="8197" max="8197" width="5" bestFit="1" customWidth="1"/>
    <col min="8448" max="8448" width="38.6640625" customWidth="1"/>
    <col min="8449" max="8451" width="24.83203125" customWidth="1"/>
    <col min="8452" max="8452" width="26.83203125" customWidth="1"/>
    <col min="8453" max="8453" width="5" bestFit="1" customWidth="1"/>
    <col min="8704" max="8704" width="38.6640625" customWidth="1"/>
    <col min="8705" max="8707" width="24.83203125" customWidth="1"/>
    <col min="8708" max="8708" width="26.83203125" customWidth="1"/>
    <col min="8709" max="8709" width="5" bestFit="1" customWidth="1"/>
    <col min="8960" max="8960" width="38.6640625" customWidth="1"/>
    <col min="8961" max="8963" width="24.83203125" customWidth="1"/>
    <col min="8964" max="8964" width="26.83203125" customWidth="1"/>
    <col min="8965" max="8965" width="5" bestFit="1" customWidth="1"/>
    <col min="9216" max="9216" width="38.6640625" customWidth="1"/>
    <col min="9217" max="9219" width="24.83203125" customWidth="1"/>
    <col min="9220" max="9220" width="26.83203125" customWidth="1"/>
    <col min="9221" max="9221" width="5" bestFit="1" customWidth="1"/>
    <col min="9472" max="9472" width="38.6640625" customWidth="1"/>
    <col min="9473" max="9475" width="24.83203125" customWidth="1"/>
    <col min="9476" max="9476" width="26.83203125" customWidth="1"/>
    <col min="9477" max="9477" width="5" bestFit="1" customWidth="1"/>
    <col min="9728" max="9728" width="38.6640625" customWidth="1"/>
    <col min="9729" max="9731" width="24.83203125" customWidth="1"/>
    <col min="9732" max="9732" width="26.83203125" customWidth="1"/>
    <col min="9733" max="9733" width="5" bestFit="1" customWidth="1"/>
    <col min="9984" max="9984" width="38.6640625" customWidth="1"/>
    <col min="9985" max="9987" width="24.83203125" customWidth="1"/>
    <col min="9988" max="9988" width="26.83203125" customWidth="1"/>
    <col min="9989" max="9989" width="5" bestFit="1" customWidth="1"/>
    <col min="10240" max="10240" width="38.6640625" customWidth="1"/>
    <col min="10241" max="10243" width="24.83203125" customWidth="1"/>
    <col min="10244" max="10244" width="26.83203125" customWidth="1"/>
    <col min="10245" max="10245" width="5" bestFit="1" customWidth="1"/>
    <col min="10496" max="10496" width="38.6640625" customWidth="1"/>
    <col min="10497" max="10499" width="24.83203125" customWidth="1"/>
    <col min="10500" max="10500" width="26.83203125" customWidth="1"/>
    <col min="10501" max="10501" width="5" bestFit="1" customWidth="1"/>
    <col min="10752" max="10752" width="38.6640625" customWidth="1"/>
    <col min="10753" max="10755" width="24.83203125" customWidth="1"/>
    <col min="10756" max="10756" width="26.83203125" customWidth="1"/>
    <col min="10757" max="10757" width="5" bestFit="1" customWidth="1"/>
    <col min="11008" max="11008" width="38.6640625" customWidth="1"/>
    <col min="11009" max="11011" width="24.83203125" customWidth="1"/>
    <col min="11012" max="11012" width="26.83203125" customWidth="1"/>
    <col min="11013" max="11013" width="5" bestFit="1" customWidth="1"/>
    <col min="11264" max="11264" width="38.6640625" customWidth="1"/>
    <col min="11265" max="11267" width="24.83203125" customWidth="1"/>
    <col min="11268" max="11268" width="26.83203125" customWidth="1"/>
    <col min="11269" max="11269" width="5" bestFit="1" customWidth="1"/>
    <col min="11520" max="11520" width="38.6640625" customWidth="1"/>
    <col min="11521" max="11523" width="24.83203125" customWidth="1"/>
    <col min="11524" max="11524" width="26.83203125" customWidth="1"/>
    <col min="11525" max="11525" width="5" bestFit="1" customWidth="1"/>
    <col min="11776" max="11776" width="38.6640625" customWidth="1"/>
    <col min="11777" max="11779" width="24.83203125" customWidth="1"/>
    <col min="11780" max="11780" width="26.83203125" customWidth="1"/>
    <col min="11781" max="11781" width="5" bestFit="1" customWidth="1"/>
    <col min="12032" max="12032" width="38.6640625" customWidth="1"/>
    <col min="12033" max="12035" width="24.83203125" customWidth="1"/>
    <col min="12036" max="12036" width="26.83203125" customWidth="1"/>
    <col min="12037" max="12037" width="5" bestFit="1" customWidth="1"/>
    <col min="12288" max="12288" width="38.6640625" customWidth="1"/>
    <col min="12289" max="12291" width="24.83203125" customWidth="1"/>
    <col min="12292" max="12292" width="26.83203125" customWidth="1"/>
    <col min="12293" max="12293" width="5" bestFit="1" customWidth="1"/>
    <col min="12544" max="12544" width="38.6640625" customWidth="1"/>
    <col min="12545" max="12547" width="24.83203125" customWidth="1"/>
    <col min="12548" max="12548" width="26.83203125" customWidth="1"/>
    <col min="12549" max="12549" width="5" bestFit="1" customWidth="1"/>
    <col min="12800" max="12800" width="38.6640625" customWidth="1"/>
    <col min="12801" max="12803" width="24.83203125" customWidth="1"/>
    <col min="12804" max="12804" width="26.83203125" customWidth="1"/>
    <col min="12805" max="12805" width="5" bestFit="1" customWidth="1"/>
    <col min="13056" max="13056" width="38.6640625" customWidth="1"/>
    <col min="13057" max="13059" width="24.83203125" customWidth="1"/>
    <col min="13060" max="13060" width="26.83203125" customWidth="1"/>
    <col min="13061" max="13061" width="5" bestFit="1" customWidth="1"/>
    <col min="13312" max="13312" width="38.6640625" customWidth="1"/>
    <col min="13313" max="13315" width="24.83203125" customWidth="1"/>
    <col min="13316" max="13316" width="26.83203125" customWidth="1"/>
    <col min="13317" max="13317" width="5" bestFit="1" customWidth="1"/>
    <col min="13568" max="13568" width="38.6640625" customWidth="1"/>
    <col min="13569" max="13571" width="24.83203125" customWidth="1"/>
    <col min="13572" max="13572" width="26.83203125" customWidth="1"/>
    <col min="13573" max="13573" width="5" bestFit="1" customWidth="1"/>
    <col min="13824" max="13824" width="38.6640625" customWidth="1"/>
    <col min="13825" max="13827" width="24.83203125" customWidth="1"/>
    <col min="13828" max="13828" width="26.83203125" customWidth="1"/>
    <col min="13829" max="13829" width="5" bestFit="1" customWidth="1"/>
    <col min="14080" max="14080" width="38.6640625" customWidth="1"/>
    <col min="14081" max="14083" width="24.83203125" customWidth="1"/>
    <col min="14084" max="14084" width="26.83203125" customWidth="1"/>
    <col min="14085" max="14085" width="5" bestFit="1" customWidth="1"/>
    <col min="14336" max="14336" width="38.6640625" customWidth="1"/>
    <col min="14337" max="14339" width="24.83203125" customWidth="1"/>
    <col min="14340" max="14340" width="26.83203125" customWidth="1"/>
    <col min="14341" max="14341" width="5" bestFit="1" customWidth="1"/>
    <col min="14592" max="14592" width="38.6640625" customWidth="1"/>
    <col min="14593" max="14595" width="24.83203125" customWidth="1"/>
    <col min="14596" max="14596" width="26.83203125" customWidth="1"/>
    <col min="14597" max="14597" width="5" bestFit="1" customWidth="1"/>
    <col min="14848" max="14848" width="38.6640625" customWidth="1"/>
    <col min="14849" max="14851" width="24.83203125" customWidth="1"/>
    <col min="14852" max="14852" width="26.83203125" customWidth="1"/>
    <col min="14853" max="14853" width="5" bestFit="1" customWidth="1"/>
    <col min="15104" max="15104" width="38.6640625" customWidth="1"/>
    <col min="15105" max="15107" width="24.83203125" customWidth="1"/>
    <col min="15108" max="15108" width="26.83203125" customWidth="1"/>
    <col min="15109" max="15109" width="5" bestFit="1" customWidth="1"/>
    <col min="15360" max="15360" width="38.6640625" customWidth="1"/>
    <col min="15361" max="15363" width="24.83203125" customWidth="1"/>
    <col min="15364" max="15364" width="26.83203125" customWidth="1"/>
    <col min="15365" max="15365" width="5" bestFit="1" customWidth="1"/>
    <col min="15616" max="15616" width="38.6640625" customWidth="1"/>
    <col min="15617" max="15619" width="24.83203125" customWidth="1"/>
    <col min="15620" max="15620" width="26.83203125" customWidth="1"/>
    <col min="15621" max="15621" width="5" bestFit="1" customWidth="1"/>
    <col min="15872" max="15872" width="38.6640625" customWidth="1"/>
    <col min="15873" max="15875" width="24.83203125" customWidth="1"/>
    <col min="15876" max="15876" width="26.83203125" customWidth="1"/>
    <col min="15877" max="15877" width="5" bestFit="1" customWidth="1"/>
    <col min="16128" max="16128" width="38.6640625" customWidth="1"/>
    <col min="16129" max="16131" width="24.83203125" customWidth="1"/>
    <col min="16132" max="16132" width="26.83203125" customWidth="1"/>
    <col min="16133" max="16133" width="5" bestFit="1" customWidth="1"/>
  </cols>
  <sheetData>
    <row r="1" spans="1:5" x14ac:dyDescent="0.2">
      <c r="A1" s="1372" t="str">
        <f>CONCATENATE("9. melléklet"," ",ALAPADATOK!A7," ",ALAPADATOK!B7," ",ALAPADATOK!C7," ",ALAPADATOK!D7," ",ALAPADATOK!E7," ",ALAPADATOK!F7," ",ALAPADATOK!G7," ",ALAPADATOK!H7)</f>
        <v>9. melléklet az 5 / 2022. ( II.24. ) önkormányzati rendelethez</v>
      </c>
      <c r="B1" s="1372"/>
      <c r="C1" s="1372"/>
      <c r="D1" s="1372"/>
      <c r="E1" s="1372"/>
    </row>
    <row r="2" spans="1:5" ht="15.75" customHeight="1" x14ac:dyDescent="0.2">
      <c r="A2" s="1369" t="s">
        <v>965</v>
      </c>
      <c r="B2" s="1369"/>
      <c r="C2" s="1369"/>
      <c r="D2" s="1369"/>
      <c r="E2" s="1369"/>
    </row>
    <row r="3" spans="1:5" ht="15.75" x14ac:dyDescent="0.2">
      <c r="A3" s="1370"/>
      <c r="B3" s="1369"/>
      <c r="C3" s="1369"/>
      <c r="D3" s="1369"/>
      <c r="E3" s="1369"/>
    </row>
    <row r="4" spans="1:5" ht="31.5" customHeight="1" x14ac:dyDescent="0.2">
      <c r="A4" s="1371" t="s">
        <v>971</v>
      </c>
      <c r="B4" s="1371"/>
      <c r="C4" s="1371"/>
      <c r="D4" s="1371"/>
      <c r="E4" s="1371"/>
    </row>
    <row r="5" spans="1:5" ht="15.75" thickBot="1" x14ac:dyDescent="0.25">
      <c r="A5" s="1046"/>
      <c r="B5" s="1046"/>
      <c r="C5" s="1046"/>
      <c r="D5" s="1046"/>
      <c r="E5" s="1048" t="s">
        <v>494</v>
      </c>
    </row>
    <row r="6" spans="1:5" ht="13.5" thickBot="1" x14ac:dyDescent="0.25">
      <c r="A6" s="1355" t="s">
        <v>520</v>
      </c>
      <c r="B6" s="1358" t="s">
        <v>966</v>
      </c>
      <c r="C6" s="1359"/>
      <c r="D6" s="1359"/>
      <c r="E6" s="1360"/>
    </row>
    <row r="7" spans="1:5" ht="13.5" customHeight="1" thickBot="1" x14ac:dyDescent="0.25">
      <c r="A7" s="1356"/>
      <c r="B7" s="1361" t="s">
        <v>976</v>
      </c>
      <c r="C7" s="1364" t="s">
        <v>967</v>
      </c>
      <c r="D7" s="1365"/>
      <c r="E7" s="1366"/>
    </row>
    <row r="8" spans="1:5" ht="13.5" customHeight="1" x14ac:dyDescent="0.2">
      <c r="A8" s="1356"/>
      <c r="B8" s="1362"/>
      <c r="C8" s="1361" t="str">
        <f>CONCATENATE(ALAPADATOK!$D$7," előttre ütemezett bevétel, kiadás")</f>
        <v>2022. előttre ütemezett bevétel, kiadás</v>
      </c>
      <c r="D8" s="1361" t="str">
        <f>CONCATENATE(ALAPADATOK!$D$7," évre ütemezett bevétel, kiadás")</f>
        <v>2022. évre ütemezett bevétel, kiadás</v>
      </c>
      <c r="E8" s="1361" t="str">
        <f>CONCATENATE(ALAPADATOK!$D$7," utánra ütemezett bevétel, kiadás")</f>
        <v>2022. utánra ütemezett bevétel, kiadás</v>
      </c>
    </row>
    <row r="9" spans="1:5" ht="13.5" thickBot="1" x14ac:dyDescent="0.25">
      <c r="A9" s="1357"/>
      <c r="B9" s="1368"/>
      <c r="C9" s="1367"/>
      <c r="D9" s="1367"/>
      <c r="E9" s="1368"/>
    </row>
    <row r="10" spans="1:5" ht="13.5" thickBot="1" x14ac:dyDescent="0.25">
      <c r="A10" s="1049" t="s">
        <v>385</v>
      </c>
      <c r="B10" s="1050" t="s">
        <v>968</v>
      </c>
      <c r="C10" s="1051" t="s">
        <v>387</v>
      </c>
      <c r="D10" s="1047" t="s">
        <v>437</v>
      </c>
      <c r="E10" s="1052" t="s">
        <v>438</v>
      </c>
    </row>
    <row r="11" spans="1:5" ht="14.25" customHeight="1" x14ac:dyDescent="0.2">
      <c r="A11" s="1053" t="s">
        <v>521</v>
      </c>
      <c r="B11" s="1063">
        <f>C11+D11+E11</f>
        <v>3152164</v>
      </c>
      <c r="C11" s="1064">
        <v>3136412</v>
      </c>
      <c r="D11" s="1064">
        <v>15752</v>
      </c>
      <c r="E11" s="1065"/>
    </row>
    <row r="12" spans="1:5" x14ac:dyDescent="0.2">
      <c r="A12" s="1054" t="s">
        <v>522</v>
      </c>
      <c r="B12" s="1066">
        <f t="shared" ref="B12:B21" si="0">C12+D12+E12</f>
        <v>0</v>
      </c>
      <c r="C12" s="1067"/>
      <c r="D12" s="1067"/>
      <c r="E12" s="1067"/>
    </row>
    <row r="13" spans="1:5" ht="13.5" customHeight="1" x14ac:dyDescent="0.2">
      <c r="A13" s="1055" t="s">
        <v>970</v>
      </c>
      <c r="B13" s="1068">
        <f t="shared" si="0"/>
        <v>139014928</v>
      </c>
      <c r="C13" s="1069">
        <v>107440289</v>
      </c>
      <c r="D13" s="1069">
        <v>31574639</v>
      </c>
      <c r="E13" s="1069"/>
    </row>
    <row r="14" spans="1:5" ht="12.75" customHeight="1" x14ac:dyDescent="0.2">
      <c r="A14" s="1055" t="s">
        <v>109</v>
      </c>
      <c r="B14" s="1068">
        <f t="shared" si="0"/>
        <v>0</v>
      </c>
      <c r="C14" s="1069"/>
      <c r="D14" s="1069"/>
      <c r="E14" s="1069"/>
    </row>
    <row r="15" spans="1:5" ht="13.5" thickBot="1" x14ac:dyDescent="0.25">
      <c r="A15" s="1055" t="s">
        <v>523</v>
      </c>
      <c r="B15" s="1068">
        <f t="shared" si="0"/>
        <v>0</v>
      </c>
      <c r="C15" s="1069"/>
      <c r="D15" s="1069"/>
      <c r="E15" s="1069"/>
    </row>
    <row r="16" spans="1:5" ht="13.5" thickBot="1" x14ac:dyDescent="0.25">
      <c r="A16" s="1056" t="s">
        <v>524</v>
      </c>
      <c r="B16" s="1070">
        <f>B11+SUM(B13:B15)</f>
        <v>142167092</v>
      </c>
      <c r="C16" s="1070">
        <f>C11+SUM(C13:C15)</f>
        <v>110576701</v>
      </c>
      <c r="D16" s="1070">
        <f>D11+SUM(D13:D15)</f>
        <v>31590391</v>
      </c>
      <c r="E16" s="1071">
        <f>E11+SUM(E13:E15)</f>
        <v>0</v>
      </c>
    </row>
    <row r="17" spans="1:5" x14ac:dyDescent="0.2">
      <c r="A17" s="1057" t="s">
        <v>525</v>
      </c>
      <c r="B17" s="1063">
        <f>C17+D17+E17</f>
        <v>7671008</v>
      </c>
      <c r="C17" s="1064">
        <f>5335564+2026145</f>
        <v>7361709</v>
      </c>
      <c r="D17" s="1064">
        <f>293547+15752</f>
        <v>309299</v>
      </c>
      <c r="E17" s="1065"/>
    </row>
    <row r="18" spans="1:5" x14ac:dyDescent="0.2">
      <c r="A18" s="1058" t="s">
        <v>749</v>
      </c>
      <c r="B18" s="1068">
        <f t="shared" si="0"/>
        <v>60183704</v>
      </c>
      <c r="C18" s="1069">
        <f>54543034+1568000</f>
        <v>56111034</v>
      </c>
      <c r="D18" s="1140">
        <f>1050+4071620</f>
        <v>4072670</v>
      </c>
      <c r="E18" s="1069"/>
    </row>
    <row r="19" spans="1:5" x14ac:dyDescent="0.2">
      <c r="A19" s="1058" t="s">
        <v>527</v>
      </c>
      <c r="B19" s="1068">
        <f t="shared" si="0"/>
        <v>9072000</v>
      </c>
      <c r="C19" s="1069">
        <f>5688000+2885669</f>
        <v>8573669</v>
      </c>
      <c r="D19" s="1069">
        <v>498331</v>
      </c>
      <c r="E19" s="1069"/>
    </row>
    <row r="20" spans="1:5" x14ac:dyDescent="0.2">
      <c r="A20" s="1058" t="s">
        <v>528</v>
      </c>
      <c r="B20" s="1068">
        <f t="shared" si="0"/>
        <v>0</v>
      </c>
      <c r="C20" s="1069"/>
      <c r="D20" s="1069"/>
      <c r="E20" s="1069"/>
    </row>
    <row r="21" spans="1:5" ht="13.5" thickBot="1" x14ac:dyDescent="0.25">
      <c r="A21" s="1059" t="s">
        <v>973</v>
      </c>
      <c r="B21" s="1072">
        <f t="shared" si="0"/>
        <v>65240380</v>
      </c>
      <c r="C21" s="1073">
        <f>22670000+14880000</f>
        <v>37550000</v>
      </c>
      <c r="D21" s="1275">
        <f>31762000-4071620</f>
        <v>27690380</v>
      </c>
      <c r="E21" s="1074"/>
    </row>
    <row r="22" spans="1:5" ht="13.5" thickBot="1" x14ac:dyDescent="0.25">
      <c r="A22" s="1060" t="s">
        <v>97</v>
      </c>
      <c r="B22" s="1070">
        <f>SUM(B17:B21)</f>
        <v>142167092</v>
      </c>
      <c r="C22" s="1070">
        <f>SUM(C17:C21)</f>
        <v>109596412</v>
      </c>
      <c r="D22" s="1070">
        <f>SUM(D17:D21)</f>
        <v>32570680</v>
      </c>
      <c r="E22" s="1071">
        <f>SUM(E17:E21)</f>
        <v>0</v>
      </c>
    </row>
    <row r="23" spans="1:5" x14ac:dyDescent="0.2">
      <c r="A23" s="1374" t="s">
        <v>969</v>
      </c>
      <c r="B23" s="1374"/>
      <c r="C23" s="1374"/>
      <c r="D23" s="1374"/>
      <c r="E23" s="1374"/>
    </row>
    <row r="24" spans="1:5" x14ac:dyDescent="0.2">
      <c r="A24" s="1061"/>
      <c r="B24" s="1061"/>
      <c r="C24" s="1061"/>
      <c r="D24" s="1061"/>
      <c r="E24" s="1061"/>
    </row>
    <row r="25" spans="1:5" ht="31.5" customHeight="1" x14ac:dyDescent="0.2">
      <c r="A25" s="1371" t="s">
        <v>974</v>
      </c>
      <c r="B25" s="1371"/>
      <c r="C25" s="1371"/>
      <c r="D25" s="1371"/>
      <c r="E25" s="1371"/>
    </row>
    <row r="26" spans="1:5" ht="15.75" thickBot="1" x14ac:dyDescent="0.25">
      <c r="A26" s="1046"/>
      <c r="B26" s="1046"/>
      <c r="C26" s="1046"/>
      <c r="D26" s="1046"/>
      <c r="E26" s="1048" t="s">
        <v>494</v>
      </c>
    </row>
    <row r="27" spans="1:5" ht="13.5" thickBot="1" x14ac:dyDescent="0.25">
      <c r="A27" s="1355" t="s">
        <v>520</v>
      </c>
      <c r="B27" s="1358" t="s">
        <v>966</v>
      </c>
      <c r="C27" s="1359"/>
      <c r="D27" s="1359"/>
      <c r="E27" s="1360"/>
    </row>
    <row r="28" spans="1:5" ht="13.5" thickBot="1" x14ac:dyDescent="0.25">
      <c r="A28" s="1356"/>
      <c r="B28" s="1361" t="str">
        <f>B7</f>
        <v>A projektre jóváhagyott összes
 bevétel, kiadás</v>
      </c>
      <c r="C28" s="1364" t="s">
        <v>967</v>
      </c>
      <c r="D28" s="1365"/>
      <c r="E28" s="1366"/>
    </row>
    <row r="29" spans="1:5" ht="12.75" customHeight="1" x14ac:dyDescent="0.2">
      <c r="A29" s="1356"/>
      <c r="B29" s="1362"/>
      <c r="C29" s="1361" t="str">
        <f>CONCATENATE(ALAPADATOK!$D$7," előttre ütemezett bevétel, kiadás")</f>
        <v>2022. előttre ütemezett bevétel, kiadás</v>
      </c>
      <c r="D29" s="1361" t="str">
        <f>CONCATENATE(ALAPADATOK!$D$7," évre ütemezett bevétel, kiadás")</f>
        <v>2022. évre ütemezett bevétel, kiadás</v>
      </c>
      <c r="E29" s="1361" t="str">
        <f>CONCATENATE(ALAPADATOK!$D$7," utánra ütemezett bevétel, kiadás")</f>
        <v>2022. utánra ütemezett bevétel, kiadás</v>
      </c>
    </row>
    <row r="30" spans="1:5" ht="12.75" customHeight="1" thickBot="1" x14ac:dyDescent="0.25">
      <c r="A30" s="1357"/>
      <c r="B30" s="1363"/>
      <c r="C30" s="1367"/>
      <c r="D30" s="1367"/>
      <c r="E30" s="1368"/>
    </row>
    <row r="31" spans="1:5" ht="13.5" thickBot="1" x14ac:dyDescent="0.25">
      <c r="A31" s="1049" t="s">
        <v>385</v>
      </c>
      <c r="B31" s="1050" t="s">
        <v>968</v>
      </c>
      <c r="C31" s="1051" t="s">
        <v>387</v>
      </c>
      <c r="D31" s="1047" t="s">
        <v>437</v>
      </c>
      <c r="E31" s="1052" t="s">
        <v>438</v>
      </c>
    </row>
    <row r="32" spans="1:5" x14ac:dyDescent="0.2">
      <c r="A32" s="1053" t="s">
        <v>521</v>
      </c>
      <c r="B32" s="1063">
        <f>C32+D32+E32</f>
        <v>0</v>
      </c>
      <c r="C32" s="1064"/>
      <c r="D32" s="1064"/>
      <c r="E32" s="1065"/>
    </row>
    <row r="33" spans="1:11" x14ac:dyDescent="0.2">
      <c r="A33" s="1054" t="s">
        <v>522</v>
      </c>
      <c r="B33" s="1066">
        <f>C33+D33+E33</f>
        <v>0</v>
      </c>
      <c r="C33" s="1067"/>
      <c r="D33" s="1067"/>
      <c r="E33" s="1067"/>
    </row>
    <row r="34" spans="1:11" x14ac:dyDescent="0.2">
      <c r="A34" s="1055" t="s">
        <v>970</v>
      </c>
      <c r="B34" s="1068">
        <f>C34+D34+E34</f>
        <v>31491050</v>
      </c>
      <c r="C34" s="1069">
        <f>5715000+25776050</f>
        <v>31491050</v>
      </c>
      <c r="D34" s="1069"/>
      <c r="E34" s="1069"/>
    </row>
    <row r="35" spans="1:11" ht="12.75" customHeight="1" x14ac:dyDescent="0.2">
      <c r="A35" s="1055" t="s">
        <v>109</v>
      </c>
      <c r="B35" s="1068">
        <f>C35+D35+E35</f>
        <v>0</v>
      </c>
      <c r="C35" s="1069"/>
      <c r="D35" s="1069"/>
      <c r="E35" s="1069"/>
    </row>
    <row r="36" spans="1:11" ht="13.5" thickBot="1" x14ac:dyDescent="0.25">
      <c r="A36" s="1055" t="s">
        <v>523</v>
      </c>
      <c r="B36" s="1068">
        <f>C36+D36+E36</f>
        <v>0</v>
      </c>
      <c r="C36" s="1069"/>
      <c r="D36" s="1069"/>
      <c r="E36" s="1069"/>
    </row>
    <row r="37" spans="1:11" ht="13.5" thickBot="1" x14ac:dyDescent="0.25">
      <c r="A37" s="1056" t="s">
        <v>524</v>
      </c>
      <c r="B37" s="1070">
        <f>B32+SUM(B34:B36)</f>
        <v>31491050</v>
      </c>
      <c r="C37" s="1070">
        <f>C32+SUM(C34:C36)</f>
        <v>31491050</v>
      </c>
      <c r="D37" s="1070">
        <f>D32+SUM(D34:D36)</f>
        <v>0</v>
      </c>
      <c r="E37" s="1071">
        <f>E32+SUM(E34:E36)</f>
        <v>0</v>
      </c>
      <c r="H37" s="1078"/>
    </row>
    <row r="38" spans="1:11" x14ac:dyDescent="0.2">
      <c r="A38" s="1057" t="s">
        <v>525</v>
      </c>
      <c r="B38" s="1063">
        <f>C38+D38+E38</f>
        <v>420187</v>
      </c>
      <c r="C38" s="1064">
        <v>204000</v>
      </c>
      <c r="D38" s="1064">
        <f>96000+120187</f>
        <v>216187</v>
      </c>
      <c r="E38" s="1065"/>
      <c r="H38" s="1078"/>
      <c r="I38" s="1078"/>
      <c r="J38" s="1077"/>
    </row>
    <row r="39" spans="1:11" x14ac:dyDescent="0.2">
      <c r="A39" s="1058" t="s">
        <v>749</v>
      </c>
      <c r="B39" s="1068">
        <f>C39+D39+E39</f>
        <v>8451640</v>
      </c>
      <c r="C39" s="1069">
        <f>1270000+3175000+2959100</f>
        <v>7404100</v>
      </c>
      <c r="D39" s="1069">
        <v>1047540</v>
      </c>
      <c r="E39" s="1069"/>
      <c r="H39" s="1078"/>
      <c r="I39" s="1078"/>
      <c r="J39" s="1077"/>
    </row>
    <row r="40" spans="1:11" x14ac:dyDescent="0.2">
      <c r="A40" s="1058" t="s">
        <v>527</v>
      </c>
      <c r="B40" s="1068">
        <f>C40+D40+E40</f>
        <v>21933670</v>
      </c>
      <c r="C40" s="1069">
        <f>1270000+3049076+12631424</f>
        <v>16950500</v>
      </c>
      <c r="D40" s="1069">
        <v>4983170</v>
      </c>
      <c r="E40" s="1069"/>
      <c r="H40" s="1078"/>
      <c r="I40" s="1078"/>
      <c r="J40" s="1077"/>
    </row>
    <row r="41" spans="1:11" x14ac:dyDescent="0.2">
      <c r="A41" s="1058" t="s">
        <v>528</v>
      </c>
      <c r="B41" s="1068">
        <f>C41+D41+E41</f>
        <v>0</v>
      </c>
      <c r="C41" s="1069"/>
      <c r="D41" s="1069"/>
      <c r="E41" s="1069"/>
      <c r="H41" s="1078"/>
      <c r="J41" s="1077"/>
      <c r="K41" s="1077"/>
    </row>
    <row r="42" spans="1:11" ht="13.5" thickBot="1" x14ac:dyDescent="0.25">
      <c r="A42" s="1059" t="s">
        <v>529</v>
      </c>
      <c r="B42" s="1072">
        <f>C42+D42+E42</f>
        <v>685553</v>
      </c>
      <c r="C42" s="1073"/>
      <c r="D42" s="1073">
        <v>685553</v>
      </c>
      <c r="E42" s="1074"/>
      <c r="H42" s="1078"/>
    </row>
    <row r="43" spans="1:11" ht="13.5" thickBot="1" x14ac:dyDescent="0.25">
      <c r="A43" s="1060" t="s">
        <v>97</v>
      </c>
      <c r="B43" s="1070">
        <f>SUM(B38:B42)</f>
        <v>31491050</v>
      </c>
      <c r="C43" s="1070">
        <f>SUM(C38:C42)</f>
        <v>24558600</v>
      </c>
      <c r="D43" s="1070">
        <f>SUM(D38:D42)</f>
        <v>6932450</v>
      </c>
      <c r="E43" s="1071">
        <f>SUM(E38:E42)</f>
        <v>0</v>
      </c>
      <c r="G43" s="1079"/>
    </row>
    <row r="44" spans="1:11" x14ac:dyDescent="0.2">
      <c r="A44" s="1075"/>
      <c r="B44" s="1075"/>
      <c r="C44" s="1075"/>
      <c r="D44" s="1075"/>
      <c r="E44" s="1075"/>
    </row>
    <row r="45" spans="1:11" ht="33" customHeight="1" x14ac:dyDescent="0.2">
      <c r="A45" s="1371" t="s">
        <v>975</v>
      </c>
      <c r="B45" s="1371"/>
      <c r="C45" s="1371"/>
      <c r="D45" s="1371"/>
      <c r="E45" s="1371"/>
    </row>
    <row r="46" spans="1:11" ht="15.75" thickBot="1" x14ac:dyDescent="0.25">
      <c r="A46" s="1046"/>
      <c r="B46" s="1046"/>
      <c r="C46" s="1046"/>
      <c r="D46" s="1046"/>
      <c r="E46" s="1048" t="s">
        <v>494</v>
      </c>
    </row>
    <row r="47" spans="1:11" ht="13.5" thickBot="1" x14ac:dyDescent="0.25">
      <c r="A47" s="1355" t="s">
        <v>520</v>
      </c>
      <c r="B47" s="1358" t="s">
        <v>966</v>
      </c>
      <c r="C47" s="1359"/>
      <c r="D47" s="1359"/>
      <c r="E47" s="1360"/>
    </row>
    <row r="48" spans="1:11" ht="13.5" thickBot="1" x14ac:dyDescent="0.25">
      <c r="A48" s="1356"/>
      <c r="B48" s="1361" t="str">
        <f>B28</f>
        <v>A projektre jóváhagyott összes
 bevétel, kiadás</v>
      </c>
      <c r="C48" s="1364" t="s">
        <v>967</v>
      </c>
      <c r="D48" s="1365"/>
      <c r="E48" s="1366"/>
    </row>
    <row r="49" spans="1:5" ht="12.75" customHeight="1" x14ac:dyDescent="0.2">
      <c r="A49" s="1356"/>
      <c r="B49" s="1362"/>
      <c r="C49" s="1361" t="str">
        <f>CONCATENATE(ALAPADATOK!$D$7," előttre ütemezett bevétel, kiadás")</f>
        <v>2022. előttre ütemezett bevétel, kiadás</v>
      </c>
      <c r="D49" s="1361" t="str">
        <f>CONCATENATE(ALAPADATOK!$D$7," évre ütemezett bevétel, kiadás")</f>
        <v>2022. évre ütemezett bevétel, kiadás</v>
      </c>
      <c r="E49" s="1361" t="str">
        <f>CONCATENATE(ALAPADATOK!$D$7," utánra ütemezett bevétel, kiadás")</f>
        <v>2022. utánra ütemezett bevétel, kiadás</v>
      </c>
    </row>
    <row r="50" spans="1:5" ht="13.5" thickBot="1" x14ac:dyDescent="0.25">
      <c r="A50" s="1357"/>
      <c r="B50" s="1363"/>
      <c r="C50" s="1367"/>
      <c r="D50" s="1367"/>
      <c r="E50" s="1368"/>
    </row>
    <row r="51" spans="1:5" ht="13.5" thickBot="1" x14ac:dyDescent="0.25">
      <c r="A51" s="1049" t="s">
        <v>385</v>
      </c>
      <c r="B51" s="1050" t="s">
        <v>968</v>
      </c>
      <c r="C51" s="1051" t="s">
        <v>387</v>
      </c>
      <c r="D51" s="1047" t="s">
        <v>437</v>
      </c>
      <c r="E51" s="1052" t="s">
        <v>438</v>
      </c>
    </row>
    <row r="52" spans="1:5" x14ac:dyDescent="0.2">
      <c r="A52" s="1053" t="s">
        <v>521</v>
      </c>
      <c r="B52" s="1063">
        <f>C52+D52+E52</f>
        <v>0</v>
      </c>
      <c r="C52" s="1064"/>
      <c r="D52" s="1064"/>
      <c r="E52" s="1065"/>
    </row>
    <row r="53" spans="1:5" x14ac:dyDescent="0.2">
      <c r="A53" s="1054" t="s">
        <v>522</v>
      </c>
      <c r="B53" s="1066">
        <f>C53+D53+E53</f>
        <v>0</v>
      </c>
      <c r="C53" s="1067"/>
      <c r="D53" s="1067"/>
      <c r="E53" s="1067"/>
    </row>
    <row r="54" spans="1:5" x14ac:dyDescent="0.2">
      <c r="A54" s="1055" t="s">
        <v>970</v>
      </c>
      <c r="B54" s="1068">
        <f>C54+D54+E54</f>
        <v>74782484</v>
      </c>
      <c r="C54" s="1069">
        <v>74782484</v>
      </c>
      <c r="D54" s="1069"/>
      <c r="E54" s="1069"/>
    </row>
    <row r="55" spans="1:5" x14ac:dyDescent="0.2">
      <c r="A55" s="1055" t="s">
        <v>109</v>
      </c>
      <c r="B55" s="1068">
        <f>C55+D55+E55</f>
        <v>0</v>
      </c>
      <c r="C55" s="1069"/>
      <c r="D55" s="1069"/>
      <c r="E55" s="1069"/>
    </row>
    <row r="56" spans="1:5" ht="13.5" thickBot="1" x14ac:dyDescent="0.25">
      <c r="A56" s="1055" t="s">
        <v>523</v>
      </c>
      <c r="B56" s="1068">
        <f>C56+D56+E56</f>
        <v>0</v>
      </c>
      <c r="C56" s="1069"/>
      <c r="D56" s="1069"/>
      <c r="E56" s="1069"/>
    </row>
    <row r="57" spans="1:5" ht="13.5" thickBot="1" x14ac:dyDescent="0.25">
      <c r="A57" s="1056" t="s">
        <v>524</v>
      </c>
      <c r="B57" s="1070">
        <f>B52+SUM(B54:B56)</f>
        <v>74782484</v>
      </c>
      <c r="C57" s="1070">
        <f>C52+SUM(C54:C56)</f>
        <v>74782484</v>
      </c>
      <c r="D57" s="1070">
        <f>D52+SUM(D54:D56)</f>
        <v>0</v>
      </c>
      <c r="E57" s="1071">
        <f>E52+SUM(E54:E56)</f>
        <v>0</v>
      </c>
    </row>
    <row r="58" spans="1:5" x14ac:dyDescent="0.2">
      <c r="A58" s="1057" t="s">
        <v>525</v>
      </c>
      <c r="B58" s="1063">
        <f>C58+D58+E58</f>
        <v>68123543</v>
      </c>
      <c r="C58" s="1064">
        <v>39416957</v>
      </c>
      <c r="D58" s="1064">
        <v>28706586</v>
      </c>
      <c r="E58" s="1065"/>
    </row>
    <row r="59" spans="1:5" x14ac:dyDescent="0.2">
      <c r="A59" s="1058" t="s">
        <v>526</v>
      </c>
      <c r="B59" s="1068">
        <f>C59+D59+E59</f>
        <v>1515441</v>
      </c>
      <c r="C59" s="1069">
        <v>191483</v>
      </c>
      <c r="D59" s="1069">
        <v>1323958</v>
      </c>
      <c r="E59" s="1069"/>
    </row>
    <row r="60" spans="1:5" x14ac:dyDescent="0.2">
      <c r="A60" s="1058" t="s">
        <v>527</v>
      </c>
      <c r="B60" s="1068">
        <f>C60+D60+E60</f>
        <v>5143500</v>
      </c>
      <c r="C60" s="1069">
        <v>3469600</v>
      </c>
      <c r="D60" s="1069">
        <v>1673900</v>
      </c>
      <c r="E60" s="1069"/>
    </row>
    <row r="61" spans="1:5" x14ac:dyDescent="0.2">
      <c r="A61" s="1058" t="s">
        <v>528</v>
      </c>
      <c r="B61" s="1068">
        <f>C61+D61+E61</f>
        <v>0</v>
      </c>
      <c r="C61" s="1069"/>
      <c r="D61" s="1069"/>
      <c r="E61" s="1069"/>
    </row>
    <row r="62" spans="1:5" ht="13.5" thickBot="1" x14ac:dyDescent="0.25">
      <c r="A62" s="1059"/>
      <c r="B62" s="1072">
        <f>C62+D62+E62</f>
        <v>0</v>
      </c>
      <c r="C62" s="1073"/>
      <c r="D62" s="1073"/>
      <c r="E62" s="1074"/>
    </row>
    <row r="63" spans="1:5" ht="13.5" thickBot="1" x14ac:dyDescent="0.25">
      <c r="A63" s="1060" t="s">
        <v>97</v>
      </c>
      <c r="B63" s="1070">
        <f>SUM(B58:B62)</f>
        <v>74782484</v>
      </c>
      <c r="C63" s="1070">
        <f>SUM(C58:C62)</f>
        <v>43078040</v>
      </c>
      <c r="D63" s="1070">
        <f>SUM(D58:D62)</f>
        <v>31704444</v>
      </c>
      <c r="E63" s="1071">
        <f>SUM(E58:E62)</f>
        <v>0</v>
      </c>
    </row>
    <row r="64" spans="1:5" x14ac:dyDescent="0.2">
      <c r="A64" s="1075"/>
      <c r="B64" s="1075"/>
      <c r="C64" s="1075"/>
      <c r="D64" s="1075"/>
      <c r="E64" s="1075"/>
    </row>
    <row r="65" spans="1:5" ht="14.25" customHeight="1" x14ac:dyDescent="0.2">
      <c r="A65" s="1373" t="s">
        <v>977</v>
      </c>
      <c r="B65" s="1373"/>
      <c r="C65" s="1373"/>
      <c r="D65" s="1373"/>
      <c r="E65" s="1373"/>
    </row>
    <row r="66" spans="1:5" ht="15.75" thickBot="1" x14ac:dyDescent="0.25">
      <c r="A66" s="1046"/>
      <c r="B66" s="1046"/>
      <c r="C66" s="1046"/>
      <c r="D66" s="1046"/>
      <c r="E66" s="1048" t="s">
        <v>494</v>
      </c>
    </row>
    <row r="67" spans="1:5" ht="13.5" thickBot="1" x14ac:dyDescent="0.25">
      <c r="A67" s="1355" t="s">
        <v>520</v>
      </c>
      <c r="B67" s="1358" t="s">
        <v>966</v>
      </c>
      <c r="C67" s="1359"/>
      <c r="D67" s="1359"/>
      <c r="E67" s="1360"/>
    </row>
    <row r="68" spans="1:5" ht="13.5" thickBot="1" x14ac:dyDescent="0.25">
      <c r="A68" s="1356"/>
      <c r="B68" s="1361" t="str">
        <f>B48</f>
        <v>A projektre jóváhagyott összes
 bevétel, kiadás</v>
      </c>
      <c r="C68" s="1364" t="s">
        <v>967</v>
      </c>
      <c r="D68" s="1365"/>
      <c r="E68" s="1366"/>
    </row>
    <row r="69" spans="1:5" ht="12.75" customHeight="1" x14ac:dyDescent="0.2">
      <c r="A69" s="1356"/>
      <c r="B69" s="1362"/>
      <c r="C69" s="1361" t="str">
        <f>CONCATENATE(ALAPADATOK!$D$7," előttre ütemezett bevétel, kiadás")</f>
        <v>2022. előttre ütemezett bevétel, kiadás</v>
      </c>
      <c r="D69" s="1361" t="str">
        <f>CONCATENATE(ALAPADATOK!$D$7," évre ütemezett bevétel, kiadás")</f>
        <v>2022. évre ütemezett bevétel, kiadás</v>
      </c>
      <c r="E69" s="1361" t="str">
        <f>CONCATENATE(ALAPADATOK!$D$7," utánra ütemezett bevétel, kiadás")</f>
        <v>2022. utánra ütemezett bevétel, kiadás</v>
      </c>
    </row>
    <row r="70" spans="1:5" ht="13.5" thickBot="1" x14ac:dyDescent="0.25">
      <c r="A70" s="1357"/>
      <c r="B70" s="1363"/>
      <c r="C70" s="1367"/>
      <c r="D70" s="1367"/>
      <c r="E70" s="1368"/>
    </row>
    <row r="71" spans="1:5" ht="13.5" thickBot="1" x14ac:dyDescent="0.25">
      <c r="A71" s="1049" t="s">
        <v>385</v>
      </c>
      <c r="B71" s="1050" t="s">
        <v>968</v>
      </c>
      <c r="C71" s="1051" t="s">
        <v>387</v>
      </c>
      <c r="D71" s="1047" t="s">
        <v>437</v>
      </c>
      <c r="E71" s="1052" t="s">
        <v>438</v>
      </c>
    </row>
    <row r="72" spans="1:5" x14ac:dyDescent="0.2">
      <c r="A72" s="1053" t="s">
        <v>521</v>
      </c>
      <c r="B72" s="1063">
        <f>C72+D72+E72</f>
        <v>2673360</v>
      </c>
      <c r="C72" s="1064"/>
      <c r="D72" s="1139">
        <f>2038794+302601+161965+50000+120000</f>
        <v>2673360</v>
      </c>
      <c r="E72" s="1065"/>
    </row>
    <row r="73" spans="1:5" x14ac:dyDescent="0.2">
      <c r="A73" s="1054" t="s">
        <v>522</v>
      </c>
      <c r="B73" s="1066">
        <f>C73+D73+E73</f>
        <v>0</v>
      </c>
      <c r="C73" s="1067"/>
      <c r="D73" s="1067"/>
      <c r="E73" s="1067"/>
    </row>
    <row r="74" spans="1:5" x14ac:dyDescent="0.2">
      <c r="A74" s="1055" t="s">
        <v>970</v>
      </c>
      <c r="B74" s="1068">
        <f>C74+D74+E74</f>
        <v>446705578</v>
      </c>
      <c r="C74" s="1069">
        <v>363618656</v>
      </c>
      <c r="D74" s="1140">
        <f>6350000+76736922</f>
        <v>83086922</v>
      </c>
      <c r="E74" s="1069"/>
    </row>
    <row r="75" spans="1:5" x14ac:dyDescent="0.2">
      <c r="A75" s="1055" t="s">
        <v>109</v>
      </c>
      <c r="B75" s="1068">
        <f>C75+D75+E75</f>
        <v>0</v>
      </c>
      <c r="C75" s="1069"/>
      <c r="D75" s="1069"/>
      <c r="E75" s="1069"/>
    </row>
    <row r="76" spans="1:5" ht="13.5" thickBot="1" x14ac:dyDescent="0.25">
      <c r="A76" s="1055" t="s">
        <v>523</v>
      </c>
      <c r="B76" s="1068">
        <f>C76+D76+E76</f>
        <v>243600</v>
      </c>
      <c r="C76" s="1069">
        <v>243600</v>
      </c>
      <c r="D76" s="1069"/>
      <c r="E76" s="1069"/>
    </row>
    <row r="77" spans="1:5" ht="13.5" thickBot="1" x14ac:dyDescent="0.25">
      <c r="A77" s="1056" t="s">
        <v>524</v>
      </c>
      <c r="B77" s="1070">
        <f>B72+SUM(B74:B76)</f>
        <v>449622538</v>
      </c>
      <c r="C77" s="1070">
        <f>C72+SUM(C74:C76)</f>
        <v>363862256</v>
      </c>
      <c r="D77" s="1070">
        <f>D72+SUM(D74:D76)</f>
        <v>85760282</v>
      </c>
      <c r="E77" s="1071">
        <f>E72+SUM(E74:E76)</f>
        <v>0</v>
      </c>
    </row>
    <row r="78" spans="1:5" x14ac:dyDescent="0.2">
      <c r="A78" s="1057" t="s">
        <v>525</v>
      </c>
      <c r="B78" s="1063">
        <f>C78+D78+E78</f>
        <v>0</v>
      </c>
      <c r="C78" s="1064"/>
      <c r="D78" s="1064"/>
      <c r="E78" s="1065"/>
    </row>
    <row r="79" spans="1:5" x14ac:dyDescent="0.2">
      <c r="A79" s="1058" t="s">
        <v>526</v>
      </c>
      <c r="B79" s="1068">
        <f>C79+D79+E79</f>
        <v>368492246</v>
      </c>
      <c r="C79" s="1069">
        <v>14306979</v>
      </c>
      <c r="D79" s="1140">
        <f>277448345+60422773+16314149</f>
        <v>354185267</v>
      </c>
      <c r="E79" s="1069"/>
    </row>
    <row r="80" spans="1:5" x14ac:dyDescent="0.2">
      <c r="A80" s="1058" t="s">
        <v>527</v>
      </c>
      <c r="B80" s="1068">
        <f>C80+D80+E80</f>
        <v>81130292</v>
      </c>
      <c r="C80" s="1069">
        <v>73954556</v>
      </c>
      <c r="D80" s="1140">
        <f>6843771+161965+50000+120000</f>
        <v>7175736</v>
      </c>
      <c r="E80" s="1069"/>
    </row>
    <row r="81" spans="1:5" x14ac:dyDescent="0.2">
      <c r="A81" s="1058" t="s">
        <v>528</v>
      </c>
      <c r="B81" s="1068">
        <f>C81+D81+E81</f>
        <v>0</v>
      </c>
      <c r="C81" s="1069"/>
      <c r="D81" s="1069"/>
      <c r="E81" s="1069"/>
    </row>
    <row r="82" spans="1:5" ht="13.5" thickBot="1" x14ac:dyDescent="0.25">
      <c r="A82" s="1059" t="s">
        <v>529</v>
      </c>
      <c r="B82" s="1072">
        <f>C82+D82+E82</f>
        <v>0</v>
      </c>
      <c r="C82" s="1073"/>
      <c r="D82" s="1073"/>
      <c r="E82" s="1074"/>
    </row>
    <row r="83" spans="1:5" ht="13.5" thickBot="1" x14ac:dyDescent="0.25">
      <c r="A83" s="1060" t="s">
        <v>97</v>
      </c>
      <c r="B83" s="1070">
        <f>SUM(B78:B82)</f>
        <v>449622538</v>
      </c>
      <c r="C83" s="1070">
        <f>SUM(C78:C82)</f>
        <v>88261535</v>
      </c>
      <c r="D83" s="1070">
        <f>SUM(D78:D82)</f>
        <v>361361003</v>
      </c>
      <c r="E83" s="1071">
        <f>SUM(E78:E82)</f>
        <v>0</v>
      </c>
    </row>
    <row r="84" spans="1:5" x14ac:dyDescent="0.2">
      <c r="A84" s="1075"/>
      <c r="B84" s="1075"/>
      <c r="C84" s="1075"/>
      <c r="D84" s="1075"/>
      <c r="E84" s="1075"/>
    </row>
    <row r="85" spans="1:5" ht="14.25" customHeight="1" x14ac:dyDescent="0.2">
      <c r="A85" s="1371" t="s">
        <v>978</v>
      </c>
      <c r="B85" s="1371"/>
      <c r="C85" s="1371"/>
      <c r="D85" s="1371"/>
      <c r="E85" s="1371"/>
    </row>
    <row r="86" spans="1:5" ht="15.75" thickBot="1" x14ac:dyDescent="0.25">
      <c r="A86" s="1046"/>
      <c r="B86" s="1046"/>
      <c r="C86" s="1046"/>
      <c r="D86" s="1046"/>
      <c r="E86" s="1048" t="s">
        <v>494</v>
      </c>
    </row>
    <row r="87" spans="1:5" ht="13.5" thickBot="1" x14ac:dyDescent="0.25">
      <c r="A87" s="1355" t="s">
        <v>520</v>
      </c>
      <c r="B87" s="1358" t="s">
        <v>966</v>
      </c>
      <c r="C87" s="1359"/>
      <c r="D87" s="1359"/>
      <c r="E87" s="1360"/>
    </row>
    <row r="88" spans="1:5" ht="13.5" thickBot="1" x14ac:dyDescent="0.25">
      <c r="A88" s="1356"/>
      <c r="B88" s="1361" t="str">
        <f>B68</f>
        <v>A projektre jóváhagyott összes
 bevétel, kiadás</v>
      </c>
      <c r="C88" s="1364" t="s">
        <v>967</v>
      </c>
      <c r="D88" s="1365"/>
      <c r="E88" s="1366"/>
    </row>
    <row r="89" spans="1:5" ht="12.75" customHeight="1" x14ac:dyDescent="0.2">
      <c r="A89" s="1356"/>
      <c r="B89" s="1362"/>
      <c r="C89" s="1361" t="str">
        <f>CONCATENATE(ALAPADATOK!$D$7," előttre ütemezett bevétel, kiadás")</f>
        <v>2022. előttre ütemezett bevétel, kiadás</v>
      </c>
      <c r="D89" s="1361" t="str">
        <f>CONCATENATE(ALAPADATOK!$D$7," évre ütemezett bevétel, kiadás")</f>
        <v>2022. évre ütemezett bevétel, kiadás</v>
      </c>
      <c r="E89" s="1361" t="str">
        <f>CONCATENATE(ALAPADATOK!$D$7," utánra ütemezett bevétel, kiadás")</f>
        <v>2022. utánra ütemezett bevétel, kiadás</v>
      </c>
    </row>
    <row r="90" spans="1:5" ht="13.5" thickBot="1" x14ac:dyDescent="0.25">
      <c r="A90" s="1357"/>
      <c r="B90" s="1363"/>
      <c r="C90" s="1367"/>
      <c r="D90" s="1367"/>
      <c r="E90" s="1368"/>
    </row>
    <row r="91" spans="1:5" ht="13.5" thickBot="1" x14ac:dyDescent="0.25">
      <c r="A91" s="1049" t="s">
        <v>385</v>
      </c>
      <c r="B91" s="1050" t="s">
        <v>968</v>
      </c>
      <c r="C91" s="1051" t="s">
        <v>387</v>
      </c>
      <c r="D91" s="1047" t="s">
        <v>437</v>
      </c>
      <c r="E91" s="1052" t="s">
        <v>438</v>
      </c>
    </row>
    <row r="92" spans="1:5" x14ac:dyDescent="0.2">
      <c r="A92" s="1053" t="s">
        <v>521</v>
      </c>
      <c r="B92" s="1063">
        <f>C92+D92+E92</f>
        <v>2547400</v>
      </c>
      <c r="C92" s="1064"/>
      <c r="D92" s="1139">
        <f>885800+610800+850800+200000</f>
        <v>2547400</v>
      </c>
      <c r="E92" s="1065"/>
    </row>
    <row r="93" spans="1:5" x14ac:dyDescent="0.2">
      <c r="A93" s="1054" t="s">
        <v>522</v>
      </c>
      <c r="B93" s="1066">
        <f>C93+D93+E93</f>
        <v>0</v>
      </c>
      <c r="C93" s="1067"/>
      <c r="D93" s="1067"/>
      <c r="E93" s="1067"/>
    </row>
    <row r="94" spans="1:5" x14ac:dyDescent="0.2">
      <c r="A94" s="1055" t="s">
        <v>970</v>
      </c>
      <c r="B94" s="1068">
        <f>C94+D94+E94</f>
        <v>192258856</v>
      </c>
      <c r="C94" s="1069">
        <v>168611550</v>
      </c>
      <c r="D94" s="1069">
        <v>23647306</v>
      </c>
      <c r="E94" s="1069"/>
    </row>
    <row r="95" spans="1:5" x14ac:dyDescent="0.2">
      <c r="A95" s="1055" t="s">
        <v>109</v>
      </c>
      <c r="B95" s="1068">
        <f>C95+D95+E95</f>
        <v>0</v>
      </c>
      <c r="C95" s="1069"/>
      <c r="D95" s="1069"/>
      <c r="E95" s="1069"/>
    </row>
    <row r="96" spans="1:5" ht="13.5" thickBot="1" x14ac:dyDescent="0.25">
      <c r="A96" s="1055" t="s">
        <v>523</v>
      </c>
      <c r="B96" s="1068">
        <f>C96+D96+E96</f>
        <v>0</v>
      </c>
      <c r="C96" s="1069"/>
      <c r="D96" s="1069"/>
      <c r="E96" s="1069"/>
    </row>
    <row r="97" spans="1:5" ht="13.5" thickBot="1" x14ac:dyDescent="0.25">
      <c r="A97" s="1056" t="s">
        <v>524</v>
      </c>
      <c r="B97" s="1070">
        <f>B92+SUM(B94:B96)</f>
        <v>194806256</v>
      </c>
      <c r="C97" s="1070">
        <f>C92+SUM(C94:C96)</f>
        <v>168611550</v>
      </c>
      <c r="D97" s="1070">
        <f>D92+SUM(D94:D96)</f>
        <v>26194706</v>
      </c>
      <c r="E97" s="1071">
        <f>E92+SUM(E94:E96)</f>
        <v>0</v>
      </c>
    </row>
    <row r="98" spans="1:5" x14ac:dyDescent="0.2">
      <c r="A98" s="1057" t="s">
        <v>525</v>
      </c>
      <c r="B98" s="1063">
        <f t="shared" ref="B98:B103" si="1">C98+D98+E98</f>
        <v>0</v>
      </c>
      <c r="C98" s="1064"/>
      <c r="D98" s="1064"/>
      <c r="E98" s="1065"/>
    </row>
    <row r="99" spans="1:5" x14ac:dyDescent="0.2">
      <c r="A99" s="1058" t="s">
        <v>526</v>
      </c>
      <c r="B99" s="1068">
        <f t="shared" si="1"/>
        <v>158195828</v>
      </c>
      <c r="C99" s="1069">
        <f>8103000+370000</f>
        <v>8473000</v>
      </c>
      <c r="D99" s="1069">
        <v>149722828</v>
      </c>
      <c r="E99" s="1069"/>
    </row>
    <row r="100" spans="1:5" x14ac:dyDescent="0.2">
      <c r="A100" s="1058" t="s">
        <v>527</v>
      </c>
      <c r="B100" s="1068">
        <f t="shared" si="1"/>
        <v>10406020</v>
      </c>
      <c r="C100" s="1069">
        <v>4702725</v>
      </c>
      <c r="D100" s="1140">
        <f>4041695+610800+850800+200000</f>
        <v>5703295</v>
      </c>
      <c r="E100" s="1069"/>
    </row>
    <row r="101" spans="1:5" x14ac:dyDescent="0.2">
      <c r="A101" s="1058" t="s">
        <v>528</v>
      </c>
      <c r="B101" s="1068">
        <f t="shared" si="1"/>
        <v>0</v>
      </c>
      <c r="C101" s="1069"/>
      <c r="D101" s="1069"/>
      <c r="E101" s="1069"/>
    </row>
    <row r="102" spans="1:5" x14ac:dyDescent="0.2">
      <c r="A102" s="1076" t="s">
        <v>529</v>
      </c>
      <c r="B102" s="1068">
        <f t="shared" si="1"/>
        <v>0</v>
      </c>
      <c r="C102" s="1073"/>
      <c r="D102" s="1073">
        <v>0</v>
      </c>
      <c r="E102" s="1073"/>
    </row>
    <row r="103" spans="1:5" ht="13.5" thickBot="1" x14ac:dyDescent="0.25">
      <c r="A103" s="1059" t="s">
        <v>972</v>
      </c>
      <c r="B103" s="1072">
        <f t="shared" si="1"/>
        <v>26204408</v>
      </c>
      <c r="C103" s="1073"/>
      <c r="D103" s="1073">
        <v>26204408</v>
      </c>
      <c r="E103" s="1074"/>
    </row>
    <row r="104" spans="1:5" ht="13.5" thickBot="1" x14ac:dyDescent="0.25">
      <c r="A104" s="1060" t="s">
        <v>97</v>
      </c>
      <c r="B104" s="1070">
        <f>SUM(B98:B103)</f>
        <v>194806256</v>
      </c>
      <c r="C104" s="1070">
        <f>SUM(C98:C103)</f>
        <v>13175725</v>
      </c>
      <c r="D104" s="1070">
        <f>SUM(D98:D103)</f>
        <v>181630531</v>
      </c>
      <c r="E104" s="1071">
        <f>SUM(E98:E103)</f>
        <v>0</v>
      </c>
    </row>
    <row r="105" spans="1:5" x14ac:dyDescent="0.2">
      <c r="A105" s="1062"/>
      <c r="B105" s="1062"/>
      <c r="C105" s="1062"/>
      <c r="D105" s="1062"/>
      <c r="E105" s="1062"/>
    </row>
    <row r="106" spans="1:5" ht="27" customHeight="1" x14ac:dyDescent="0.2">
      <c r="A106" s="1371" t="s">
        <v>979</v>
      </c>
      <c r="B106" s="1371"/>
      <c r="C106" s="1371"/>
      <c r="D106" s="1371"/>
      <c r="E106" s="1371"/>
    </row>
    <row r="107" spans="1:5" ht="15.75" thickBot="1" x14ac:dyDescent="0.25">
      <c r="A107" s="1046"/>
      <c r="B107" s="1046"/>
      <c r="C107" s="1046"/>
      <c r="D107" s="1046"/>
      <c r="E107" s="1048" t="s">
        <v>494</v>
      </c>
    </row>
    <row r="108" spans="1:5" ht="13.5" thickBot="1" x14ac:dyDescent="0.25">
      <c r="A108" s="1355" t="s">
        <v>520</v>
      </c>
      <c r="B108" s="1358" t="s">
        <v>966</v>
      </c>
      <c r="C108" s="1359"/>
      <c r="D108" s="1359"/>
      <c r="E108" s="1360"/>
    </row>
    <row r="109" spans="1:5" ht="13.5" thickBot="1" x14ac:dyDescent="0.25">
      <c r="A109" s="1356"/>
      <c r="B109" s="1361" t="str">
        <f>B88</f>
        <v>A projektre jóváhagyott összes
 bevétel, kiadás</v>
      </c>
      <c r="C109" s="1364" t="s">
        <v>967</v>
      </c>
      <c r="D109" s="1365"/>
      <c r="E109" s="1366"/>
    </row>
    <row r="110" spans="1:5" ht="12.75" customHeight="1" x14ac:dyDescent="0.2">
      <c r="A110" s="1356"/>
      <c r="B110" s="1362"/>
      <c r="C110" s="1361" t="str">
        <f>CONCATENATE(ALAPADATOK!$D$7," előttre ütemezett bevétel, kiadás")</f>
        <v>2022. előttre ütemezett bevétel, kiadás</v>
      </c>
      <c r="D110" s="1361" t="str">
        <f>CONCATENATE(ALAPADATOK!$D$7," évre ütemezett bevétel, kiadás")</f>
        <v>2022. évre ütemezett bevétel, kiadás</v>
      </c>
      <c r="E110" s="1361" t="str">
        <f>CONCATENATE(ALAPADATOK!$D$7," utánra ütemezett bevétel, kiadás")</f>
        <v>2022. utánra ütemezett bevétel, kiadás</v>
      </c>
    </row>
    <row r="111" spans="1:5" ht="13.5" thickBot="1" x14ac:dyDescent="0.25">
      <c r="A111" s="1357"/>
      <c r="B111" s="1363"/>
      <c r="C111" s="1367"/>
      <c r="D111" s="1367"/>
      <c r="E111" s="1368"/>
    </row>
    <row r="112" spans="1:5" ht="13.5" thickBot="1" x14ac:dyDescent="0.25">
      <c r="A112" s="1049" t="s">
        <v>385</v>
      </c>
      <c r="B112" s="1050" t="s">
        <v>968</v>
      </c>
      <c r="C112" s="1051" t="s">
        <v>387</v>
      </c>
      <c r="D112" s="1047" t="s">
        <v>437</v>
      </c>
      <c r="E112" s="1052" t="s">
        <v>438</v>
      </c>
    </row>
    <row r="113" spans="1:5" x14ac:dyDescent="0.2">
      <c r="A113" s="1053" t="s">
        <v>521</v>
      </c>
      <c r="B113" s="1063">
        <f>C113+D113+E113</f>
        <v>8600</v>
      </c>
      <c r="C113" s="1064">
        <v>3600</v>
      </c>
      <c r="D113" s="1064">
        <v>5000</v>
      </c>
      <c r="E113" s="1065"/>
    </row>
    <row r="114" spans="1:5" x14ac:dyDescent="0.2">
      <c r="A114" s="1054" t="s">
        <v>522</v>
      </c>
      <c r="B114" s="1066">
        <f>C114+D114+E114</f>
        <v>0</v>
      </c>
      <c r="C114" s="1067"/>
      <c r="D114" s="1067"/>
      <c r="E114" s="1067"/>
    </row>
    <row r="115" spans="1:5" x14ac:dyDescent="0.2">
      <c r="A115" s="1055" t="s">
        <v>970</v>
      </c>
      <c r="B115" s="1068">
        <f>C115+D115+E115</f>
        <v>230195216</v>
      </c>
      <c r="C115" s="1069">
        <v>230195216</v>
      </c>
      <c r="D115" s="1069"/>
      <c r="E115" s="1069"/>
    </row>
    <row r="116" spans="1:5" x14ac:dyDescent="0.2">
      <c r="A116" s="1055" t="s">
        <v>109</v>
      </c>
      <c r="B116" s="1068">
        <f>C116+D116+E116</f>
        <v>0</v>
      </c>
      <c r="C116" s="1069"/>
      <c r="D116" s="1069"/>
      <c r="E116" s="1069"/>
    </row>
    <row r="117" spans="1:5" ht="13.5" thickBot="1" x14ac:dyDescent="0.25">
      <c r="A117" s="1055" t="s">
        <v>523</v>
      </c>
      <c r="B117" s="1068">
        <f>C117+D117+E117</f>
        <v>0</v>
      </c>
      <c r="C117" s="1069"/>
      <c r="D117" s="1069"/>
      <c r="E117" s="1069"/>
    </row>
    <row r="118" spans="1:5" ht="13.5" thickBot="1" x14ac:dyDescent="0.25">
      <c r="A118" s="1056" t="s">
        <v>524</v>
      </c>
      <c r="B118" s="1070">
        <f>B113+SUM(B115:B117)</f>
        <v>230203816</v>
      </c>
      <c r="C118" s="1070">
        <f>C113+SUM(C115:C117)</f>
        <v>230198816</v>
      </c>
      <c r="D118" s="1070">
        <f>D113+SUM(D115:D117)</f>
        <v>5000</v>
      </c>
      <c r="E118" s="1071">
        <f>E113+SUM(E115:E117)</f>
        <v>0</v>
      </c>
    </row>
    <row r="119" spans="1:5" x14ac:dyDescent="0.2">
      <c r="A119" s="1057" t="s">
        <v>525</v>
      </c>
      <c r="B119" s="1063">
        <f>C119+D119+E119</f>
        <v>0</v>
      </c>
      <c r="C119" s="1064"/>
      <c r="D119" s="1064"/>
      <c r="E119" s="1065"/>
    </row>
    <row r="120" spans="1:5" x14ac:dyDescent="0.2">
      <c r="A120" s="1058" t="s">
        <v>526</v>
      </c>
      <c r="B120" s="1068">
        <f>C120+D120+E120</f>
        <v>227538416</v>
      </c>
      <c r="C120" s="1069">
        <f>6731000+220807416</f>
        <v>227538416</v>
      </c>
      <c r="D120" s="1069"/>
      <c r="E120" s="1069"/>
    </row>
    <row r="121" spans="1:5" x14ac:dyDescent="0.2">
      <c r="A121" s="1058" t="s">
        <v>527</v>
      </c>
      <c r="B121" s="1068">
        <f>C121+D121+E121</f>
        <v>2665400</v>
      </c>
      <c r="C121" s="1069">
        <f>2286630+3600</f>
        <v>2290230</v>
      </c>
      <c r="D121" s="1069">
        <v>375170</v>
      </c>
      <c r="E121" s="1069"/>
    </row>
    <row r="122" spans="1:5" x14ac:dyDescent="0.2">
      <c r="A122" s="1058" t="s">
        <v>528</v>
      </c>
      <c r="B122" s="1068">
        <f>C122+D122+E122</f>
        <v>0</v>
      </c>
      <c r="C122" s="1069"/>
      <c r="D122" s="1069"/>
      <c r="E122" s="1069"/>
    </row>
    <row r="123" spans="1:5" ht="13.5" thickBot="1" x14ac:dyDescent="0.25">
      <c r="A123" s="1059"/>
      <c r="B123" s="1072">
        <f>C123+D123+E123</f>
        <v>0</v>
      </c>
      <c r="C123" s="1073"/>
      <c r="D123" s="1073"/>
      <c r="E123" s="1074"/>
    </row>
    <row r="124" spans="1:5" ht="13.5" thickBot="1" x14ac:dyDescent="0.25">
      <c r="A124" s="1060" t="s">
        <v>97</v>
      </c>
      <c r="B124" s="1070">
        <f>SUM(B119:B123)</f>
        <v>230203816</v>
      </c>
      <c r="C124" s="1070">
        <f>SUM(C119:C123)</f>
        <v>229828646</v>
      </c>
      <c r="D124" s="1070">
        <f>SUM(D119:D123)</f>
        <v>375170</v>
      </c>
      <c r="E124" s="1071">
        <f>SUM(E119:E123)</f>
        <v>0</v>
      </c>
    </row>
    <row r="125" spans="1:5" x14ac:dyDescent="0.2">
      <c r="A125" s="1062"/>
      <c r="B125" s="1062"/>
      <c r="C125" s="1062"/>
      <c r="D125" s="1062"/>
      <c r="E125" s="1062"/>
    </row>
    <row r="126" spans="1:5" ht="14.25" x14ac:dyDescent="0.2">
      <c r="A126" s="1354" t="s">
        <v>980</v>
      </c>
      <c r="B126" s="1354"/>
      <c r="C126" s="1354"/>
      <c r="D126" s="1354"/>
      <c r="E126" s="1354"/>
    </row>
    <row r="127" spans="1:5" ht="15.75" thickBot="1" x14ac:dyDescent="0.25">
      <c r="A127" s="1046"/>
      <c r="B127" s="1046"/>
      <c r="C127" s="1046"/>
      <c r="D127" s="1046"/>
      <c r="E127" s="1048" t="s">
        <v>494</v>
      </c>
    </row>
    <row r="128" spans="1:5" ht="13.5" thickBot="1" x14ac:dyDescent="0.25">
      <c r="A128" s="1355" t="s">
        <v>520</v>
      </c>
      <c r="B128" s="1358" t="s">
        <v>966</v>
      </c>
      <c r="C128" s="1359"/>
      <c r="D128" s="1359"/>
      <c r="E128" s="1360"/>
    </row>
    <row r="129" spans="1:5" ht="13.5" thickBot="1" x14ac:dyDescent="0.25">
      <c r="A129" s="1356"/>
      <c r="B129" s="1361" t="str">
        <f>B109</f>
        <v>A projektre jóváhagyott összes
 bevétel, kiadás</v>
      </c>
      <c r="C129" s="1364" t="s">
        <v>967</v>
      </c>
      <c r="D129" s="1365"/>
      <c r="E129" s="1366"/>
    </row>
    <row r="130" spans="1:5" ht="12.75" customHeight="1" x14ac:dyDescent="0.2">
      <c r="A130" s="1356"/>
      <c r="B130" s="1362"/>
      <c r="C130" s="1361" t="str">
        <f>CONCATENATE(ALAPADATOK!$D$7," előttre ütemezett bevétel, kiadás")</f>
        <v>2022. előttre ütemezett bevétel, kiadás</v>
      </c>
      <c r="D130" s="1361" t="str">
        <f>CONCATENATE(ALAPADATOK!$D$7," évre ütemezett bevétel, kiadás")</f>
        <v>2022. évre ütemezett bevétel, kiadás</v>
      </c>
      <c r="E130" s="1361" t="str">
        <f>CONCATENATE(ALAPADATOK!$D$7," utánra ütemezett bevétel, kiadás")</f>
        <v>2022. utánra ütemezett bevétel, kiadás</v>
      </c>
    </row>
    <row r="131" spans="1:5" ht="13.5" thickBot="1" x14ac:dyDescent="0.25">
      <c r="A131" s="1357"/>
      <c r="B131" s="1363"/>
      <c r="C131" s="1367"/>
      <c r="D131" s="1367"/>
      <c r="E131" s="1368"/>
    </row>
    <row r="132" spans="1:5" ht="13.5" thickBot="1" x14ac:dyDescent="0.25">
      <c r="A132" s="1049" t="s">
        <v>385</v>
      </c>
      <c r="B132" s="1050" t="s">
        <v>968</v>
      </c>
      <c r="C132" s="1051" t="s">
        <v>387</v>
      </c>
      <c r="D132" s="1047" t="s">
        <v>437</v>
      </c>
      <c r="E132" s="1052" t="s">
        <v>438</v>
      </c>
    </row>
    <row r="133" spans="1:5" x14ac:dyDescent="0.2">
      <c r="A133" s="1053" t="s">
        <v>521</v>
      </c>
      <c r="B133" s="1063">
        <f>C133+D133+E133</f>
        <v>5647</v>
      </c>
      <c r="C133" s="1064"/>
      <c r="D133" s="1064">
        <f>5908-261</f>
        <v>5647</v>
      </c>
      <c r="E133" s="1065"/>
    </row>
    <row r="134" spans="1:5" x14ac:dyDescent="0.2">
      <c r="A134" s="1054" t="s">
        <v>522</v>
      </c>
      <c r="B134" s="1066">
        <f>C134+D134+E134</f>
        <v>0</v>
      </c>
      <c r="C134" s="1067"/>
      <c r="D134" s="1067"/>
      <c r="E134" s="1067"/>
    </row>
    <row r="135" spans="1:5" x14ac:dyDescent="0.2">
      <c r="A135" s="1055" t="s">
        <v>970</v>
      </c>
      <c r="B135" s="1068">
        <f>C135+D135+E135</f>
        <v>236673075</v>
      </c>
      <c r="C135" s="1069"/>
      <c r="D135" s="1069">
        <v>236673075</v>
      </c>
      <c r="E135" s="1069"/>
    </row>
    <row r="136" spans="1:5" x14ac:dyDescent="0.2">
      <c r="A136" s="1055" t="s">
        <v>109</v>
      </c>
      <c r="B136" s="1068">
        <f>C136+D136+E136</f>
        <v>0</v>
      </c>
      <c r="C136" s="1069"/>
      <c r="D136" s="1069"/>
      <c r="E136" s="1069"/>
    </row>
    <row r="137" spans="1:5" ht="13.5" thickBot="1" x14ac:dyDescent="0.25">
      <c r="A137" s="1055" t="s">
        <v>523</v>
      </c>
      <c r="B137" s="1068">
        <f>C137+D137+E137</f>
        <v>12456775</v>
      </c>
      <c r="C137" s="1069"/>
      <c r="D137" s="1069">
        <f>12456775-261+261</f>
        <v>12456775</v>
      </c>
      <c r="E137" s="1069"/>
    </row>
    <row r="138" spans="1:5" ht="13.5" thickBot="1" x14ac:dyDescent="0.25">
      <c r="A138" s="1056" t="s">
        <v>524</v>
      </c>
      <c r="B138" s="1070">
        <f>B133+SUM(B135:B137)</f>
        <v>249135497</v>
      </c>
      <c r="C138" s="1070">
        <f>C133+SUM(C135:C137)</f>
        <v>0</v>
      </c>
      <c r="D138" s="1070">
        <f>D133+SUM(D135:D137)</f>
        <v>249135497</v>
      </c>
      <c r="E138" s="1071">
        <f>E133+SUM(E135:E137)</f>
        <v>0</v>
      </c>
    </row>
    <row r="139" spans="1:5" x14ac:dyDescent="0.2">
      <c r="A139" s="1057" t="s">
        <v>525</v>
      </c>
      <c r="B139" s="1063">
        <f>C139+D139+E139</f>
        <v>0</v>
      </c>
      <c r="C139" s="1064"/>
      <c r="D139" s="1064"/>
      <c r="E139" s="1065"/>
    </row>
    <row r="140" spans="1:5" x14ac:dyDescent="0.2">
      <c r="A140" s="1058" t="s">
        <v>526</v>
      </c>
      <c r="B140" s="1068">
        <f>C140+D140+E140</f>
        <v>240415966</v>
      </c>
      <c r="C140" s="1069">
        <v>1245677</v>
      </c>
      <c r="D140" s="1069">
        <f>239164381+5908</f>
        <v>239170289</v>
      </c>
      <c r="E140" s="1069"/>
    </row>
    <row r="141" spans="1:5" x14ac:dyDescent="0.2">
      <c r="A141" s="1058" t="s">
        <v>527</v>
      </c>
      <c r="B141" s="1068">
        <f>C141+D141+E141</f>
        <v>8719531</v>
      </c>
      <c r="C141" s="1069"/>
      <c r="D141" s="1069">
        <v>8719531</v>
      </c>
      <c r="E141" s="1069"/>
    </row>
    <row r="142" spans="1:5" x14ac:dyDescent="0.2">
      <c r="A142" s="1058" t="s">
        <v>528</v>
      </c>
      <c r="B142" s="1068">
        <f>C142+D142+E142</f>
        <v>0</v>
      </c>
      <c r="C142" s="1069"/>
      <c r="D142" s="1069"/>
      <c r="E142" s="1069"/>
    </row>
    <row r="143" spans="1:5" ht="13.5" thickBot="1" x14ac:dyDescent="0.25">
      <c r="A143" s="1059"/>
      <c r="B143" s="1072">
        <f>C143+D143+E143</f>
        <v>0</v>
      </c>
      <c r="C143" s="1073"/>
      <c r="D143" s="1073"/>
      <c r="E143" s="1074"/>
    </row>
    <row r="144" spans="1:5" ht="13.5" thickBot="1" x14ac:dyDescent="0.25">
      <c r="A144" s="1060" t="s">
        <v>97</v>
      </c>
      <c r="B144" s="1070">
        <f>SUM(B139:B143)</f>
        <v>249135497</v>
      </c>
      <c r="C144" s="1070">
        <f>SUM(C139:C143)</f>
        <v>1245677</v>
      </c>
      <c r="D144" s="1070">
        <f>SUM(D139:D143)</f>
        <v>247889820</v>
      </c>
      <c r="E144" s="1071">
        <f>SUM(E139:E143)</f>
        <v>0</v>
      </c>
    </row>
    <row r="145" spans="1:5" x14ac:dyDescent="0.2">
      <c r="A145" s="1062"/>
      <c r="B145" s="1062"/>
      <c r="C145" s="1062"/>
      <c r="D145" s="1062"/>
      <c r="E145" s="1062"/>
    </row>
    <row r="146" spans="1:5" ht="14.25" x14ac:dyDescent="0.2">
      <c r="A146" s="1354" t="s">
        <v>1041</v>
      </c>
      <c r="B146" s="1354"/>
      <c r="C146" s="1354"/>
      <c r="D146" s="1354"/>
      <c r="E146" s="1354"/>
    </row>
    <row r="147" spans="1:5" ht="15.75" thickBot="1" x14ac:dyDescent="0.25">
      <c r="A147" s="1046"/>
      <c r="B147" s="1046"/>
      <c r="C147" s="1046"/>
      <c r="D147" s="1046"/>
      <c r="E147" s="1048" t="s">
        <v>494</v>
      </c>
    </row>
    <row r="148" spans="1:5" ht="13.5" thickBot="1" x14ac:dyDescent="0.25">
      <c r="A148" s="1355" t="s">
        <v>520</v>
      </c>
      <c r="B148" s="1358" t="s">
        <v>966</v>
      </c>
      <c r="C148" s="1359"/>
      <c r="D148" s="1359"/>
      <c r="E148" s="1360"/>
    </row>
    <row r="149" spans="1:5" ht="13.5" thickBot="1" x14ac:dyDescent="0.25">
      <c r="A149" s="1356"/>
      <c r="B149" s="1361" t="str">
        <f>B129</f>
        <v>A projektre jóváhagyott összes
 bevétel, kiadás</v>
      </c>
      <c r="C149" s="1364" t="s">
        <v>967</v>
      </c>
      <c r="D149" s="1365"/>
      <c r="E149" s="1366"/>
    </row>
    <row r="150" spans="1:5" x14ac:dyDescent="0.2">
      <c r="A150" s="1356"/>
      <c r="B150" s="1362"/>
      <c r="C150" s="1361" t="str">
        <f>CONCATENATE(ALAPADATOK!$D$7," előttre ütemezett bevétel, kiadás")</f>
        <v>2022. előttre ütemezett bevétel, kiadás</v>
      </c>
      <c r="D150" s="1361" t="str">
        <f>CONCATENATE(ALAPADATOK!$D$7," évre ütemezett bevétel, kiadás")</f>
        <v>2022. évre ütemezett bevétel, kiadás</v>
      </c>
      <c r="E150" s="1361" t="str">
        <f>CONCATENATE(ALAPADATOK!$D$7," utánra ütemezett bevétel, kiadás")</f>
        <v>2022. utánra ütemezett bevétel, kiadás</v>
      </c>
    </row>
    <row r="151" spans="1:5" ht="13.5" thickBot="1" x14ac:dyDescent="0.25">
      <c r="A151" s="1357"/>
      <c r="B151" s="1363"/>
      <c r="C151" s="1367"/>
      <c r="D151" s="1367"/>
      <c r="E151" s="1368"/>
    </row>
    <row r="152" spans="1:5" ht="13.5" thickBot="1" x14ac:dyDescent="0.25">
      <c r="A152" s="1049" t="s">
        <v>385</v>
      </c>
      <c r="B152" s="1050" t="s">
        <v>968</v>
      </c>
      <c r="C152" s="1051" t="s">
        <v>387</v>
      </c>
      <c r="D152" s="1047" t="s">
        <v>437</v>
      </c>
      <c r="E152" s="1052" t="s">
        <v>438</v>
      </c>
    </row>
    <row r="153" spans="1:5" x14ac:dyDescent="0.2">
      <c r="A153" s="1053" t="s">
        <v>521</v>
      </c>
      <c r="B153" s="1063">
        <f>C153+D153+E153</f>
        <v>0</v>
      </c>
      <c r="C153" s="1064"/>
      <c r="D153" s="1064"/>
      <c r="E153" s="1065"/>
    </row>
    <row r="154" spans="1:5" x14ac:dyDescent="0.2">
      <c r="A154" s="1054" t="s">
        <v>522</v>
      </c>
      <c r="B154" s="1066">
        <f>C154+D154+E154</f>
        <v>0</v>
      </c>
      <c r="C154" s="1067"/>
      <c r="D154" s="1067"/>
      <c r="E154" s="1067"/>
    </row>
    <row r="155" spans="1:5" x14ac:dyDescent="0.2">
      <c r="A155" s="1055" t="s">
        <v>970</v>
      </c>
      <c r="B155" s="1068">
        <f>C155+D155+E155</f>
        <v>174999035</v>
      </c>
      <c r="C155" s="1069"/>
      <c r="D155" s="1069">
        <v>174999035</v>
      </c>
      <c r="E155" s="1069"/>
    </row>
    <row r="156" spans="1:5" x14ac:dyDescent="0.2">
      <c r="A156" s="1055" t="s">
        <v>109</v>
      </c>
      <c r="B156" s="1068">
        <f>C156+D156+E156</f>
        <v>0</v>
      </c>
      <c r="C156" s="1069"/>
      <c r="D156" s="1069"/>
      <c r="E156" s="1069"/>
    </row>
    <row r="157" spans="1:5" ht="13.5" thickBot="1" x14ac:dyDescent="0.25">
      <c r="A157" s="1055" t="s">
        <v>523</v>
      </c>
      <c r="B157" s="1068">
        <f>C157+D157+E157</f>
        <v>0</v>
      </c>
      <c r="C157" s="1069"/>
      <c r="D157" s="1069"/>
      <c r="E157" s="1069"/>
    </row>
    <row r="158" spans="1:5" ht="13.5" thickBot="1" x14ac:dyDescent="0.25">
      <c r="A158" s="1056" t="s">
        <v>524</v>
      </c>
      <c r="B158" s="1210">
        <f>B153+SUM(B155:B157)</f>
        <v>174999035</v>
      </c>
      <c r="C158" s="1210">
        <f>C153+SUM(C155:C157)</f>
        <v>0</v>
      </c>
      <c r="D158" s="1210">
        <f>D153+SUM(D155:D157)</f>
        <v>174999035</v>
      </c>
      <c r="E158" s="1071">
        <f>E153+SUM(E155:E157)</f>
        <v>0</v>
      </c>
    </row>
    <row r="159" spans="1:5" x14ac:dyDescent="0.2">
      <c r="A159" s="1057" t="s">
        <v>525</v>
      </c>
      <c r="B159" s="1063">
        <f>C159+D159+E159</f>
        <v>1900001</v>
      </c>
      <c r="C159" s="1064"/>
      <c r="D159" s="1064">
        <f>1681417+218584</f>
        <v>1900001</v>
      </c>
      <c r="E159" s="1065"/>
    </row>
    <row r="160" spans="1:5" x14ac:dyDescent="0.2">
      <c r="A160" s="1058" t="s">
        <v>526</v>
      </c>
      <c r="B160" s="1068">
        <f>C160+D160+E160</f>
        <v>137436248</v>
      </c>
      <c r="C160" s="1069"/>
      <c r="D160" s="1069">
        <v>137436248</v>
      </c>
      <c r="E160" s="1069"/>
    </row>
    <row r="161" spans="1:5" x14ac:dyDescent="0.2">
      <c r="A161" s="1058" t="s">
        <v>527</v>
      </c>
      <c r="B161" s="1068">
        <f>C161+D161+E161</f>
        <v>35662786</v>
      </c>
      <c r="C161" s="1069"/>
      <c r="D161" s="1069">
        <v>35662786</v>
      </c>
      <c r="E161" s="1069"/>
    </row>
    <row r="162" spans="1:5" x14ac:dyDescent="0.2">
      <c r="A162" s="1058" t="s">
        <v>528</v>
      </c>
      <c r="B162" s="1068">
        <f>C162+D162+E162</f>
        <v>0</v>
      </c>
      <c r="C162" s="1069"/>
      <c r="D162" s="1069"/>
      <c r="E162" s="1069"/>
    </row>
    <row r="163" spans="1:5" ht="13.5" thickBot="1" x14ac:dyDescent="0.25">
      <c r="A163" s="1059"/>
      <c r="B163" s="1072">
        <f>C163+D163+E163</f>
        <v>0</v>
      </c>
      <c r="C163" s="1073"/>
      <c r="D163" s="1073"/>
      <c r="E163" s="1074"/>
    </row>
    <row r="164" spans="1:5" ht="13.5" thickBot="1" x14ac:dyDescent="0.25">
      <c r="A164" s="1060" t="s">
        <v>97</v>
      </c>
      <c r="B164" s="1210">
        <f>SUM(B159:B163)</f>
        <v>174999035</v>
      </c>
      <c r="C164" s="1210">
        <f>SUM(C159:C163)</f>
        <v>0</v>
      </c>
      <c r="D164" s="1210">
        <f>SUM(D159:D163)</f>
        <v>174999035</v>
      </c>
      <c r="E164" s="1071">
        <f>SUM(E159:E163)</f>
        <v>0</v>
      </c>
    </row>
    <row r="166" spans="1:5" ht="14.25" x14ac:dyDescent="0.2">
      <c r="A166" s="1354" t="s">
        <v>1063</v>
      </c>
      <c r="B166" s="1354"/>
      <c r="C166" s="1354"/>
      <c r="D166" s="1354"/>
      <c r="E166" s="1354"/>
    </row>
    <row r="167" spans="1:5" ht="15.75" thickBot="1" x14ac:dyDescent="0.25">
      <c r="A167" s="1046"/>
      <c r="B167" s="1046"/>
      <c r="C167" s="1046"/>
      <c r="D167" s="1046"/>
      <c r="E167" s="1048" t="s">
        <v>494</v>
      </c>
    </row>
    <row r="168" spans="1:5" ht="13.5" thickBot="1" x14ac:dyDescent="0.25">
      <c r="A168" s="1355" t="s">
        <v>520</v>
      </c>
      <c r="B168" s="1358" t="s">
        <v>966</v>
      </c>
      <c r="C168" s="1359"/>
      <c r="D168" s="1359"/>
      <c r="E168" s="1360"/>
    </row>
    <row r="169" spans="1:5" ht="13.5" thickBot="1" x14ac:dyDescent="0.25">
      <c r="A169" s="1356"/>
      <c r="B169" s="1361" t="str">
        <f>B149</f>
        <v>A projektre jóváhagyott összes
 bevétel, kiadás</v>
      </c>
      <c r="C169" s="1364" t="s">
        <v>967</v>
      </c>
      <c r="D169" s="1365"/>
      <c r="E169" s="1366"/>
    </row>
    <row r="170" spans="1:5" x14ac:dyDescent="0.2">
      <c r="A170" s="1356"/>
      <c r="B170" s="1362"/>
      <c r="C170" s="1361" t="str">
        <f>CONCATENATE(ALAPADATOK!$D$7," előttre ütemezett bevétel, kiadás")</f>
        <v>2022. előttre ütemezett bevétel, kiadás</v>
      </c>
      <c r="D170" s="1361" t="str">
        <f>CONCATENATE(ALAPADATOK!$D$7," évre ütemezett bevétel, kiadás")</f>
        <v>2022. évre ütemezett bevétel, kiadás</v>
      </c>
      <c r="E170" s="1361" t="str">
        <f>CONCATENATE(ALAPADATOK!$D$7," utánra ütemezett bevétel, kiadás")</f>
        <v>2022. utánra ütemezett bevétel, kiadás</v>
      </c>
    </row>
    <row r="171" spans="1:5" ht="13.5" thickBot="1" x14ac:dyDescent="0.25">
      <c r="A171" s="1357"/>
      <c r="B171" s="1363"/>
      <c r="C171" s="1367"/>
      <c r="D171" s="1367"/>
      <c r="E171" s="1368"/>
    </row>
    <row r="172" spans="1:5" ht="13.5" thickBot="1" x14ac:dyDescent="0.25">
      <c r="A172" s="1049" t="s">
        <v>385</v>
      </c>
      <c r="B172" s="1050" t="s">
        <v>968</v>
      </c>
      <c r="C172" s="1051" t="s">
        <v>387</v>
      </c>
      <c r="D172" s="1047" t="s">
        <v>437</v>
      </c>
      <c r="E172" s="1052" t="s">
        <v>438</v>
      </c>
    </row>
    <row r="173" spans="1:5" x14ac:dyDescent="0.2">
      <c r="A173" s="1053" t="s">
        <v>521</v>
      </c>
      <c r="B173" s="1063">
        <f>C173+D173+E173</f>
        <v>0</v>
      </c>
      <c r="C173" s="1064"/>
      <c r="D173" s="1064"/>
      <c r="E173" s="1065"/>
    </row>
    <row r="174" spans="1:5" x14ac:dyDescent="0.2">
      <c r="A174" s="1054" t="s">
        <v>522</v>
      </c>
      <c r="B174" s="1066">
        <f>C174+D174+E174</f>
        <v>0</v>
      </c>
      <c r="C174" s="1067"/>
      <c r="D174" s="1067"/>
      <c r="E174" s="1067"/>
    </row>
    <row r="175" spans="1:5" x14ac:dyDescent="0.2">
      <c r="A175" s="1055" t="s">
        <v>970</v>
      </c>
      <c r="B175" s="1068">
        <f>C175+D175+E175</f>
        <v>420256132</v>
      </c>
      <c r="C175" s="1069"/>
      <c r="D175" s="1069">
        <v>413906132</v>
      </c>
      <c r="E175" s="1069">
        <v>6350000</v>
      </c>
    </row>
    <row r="176" spans="1:5" x14ac:dyDescent="0.2">
      <c r="A176" s="1055" t="s">
        <v>109</v>
      </c>
      <c r="B176" s="1068">
        <f>C176+D176+E176</f>
        <v>0</v>
      </c>
      <c r="C176" s="1069"/>
      <c r="D176" s="1069"/>
      <c r="E176" s="1069"/>
    </row>
    <row r="177" spans="1:5" ht="13.5" thickBot="1" x14ac:dyDescent="0.25">
      <c r="A177" s="1055" t="s">
        <v>523</v>
      </c>
      <c r="B177" s="1068">
        <f>C177+D177+E177</f>
        <v>0</v>
      </c>
      <c r="C177" s="1069"/>
      <c r="D177" s="1069"/>
      <c r="E177" s="1069"/>
    </row>
    <row r="178" spans="1:5" ht="13.5" thickBot="1" x14ac:dyDescent="0.25">
      <c r="A178" s="1056" t="s">
        <v>524</v>
      </c>
      <c r="B178" s="1070">
        <f>B173+SUM(B175:B177)</f>
        <v>420256132</v>
      </c>
      <c r="C178" s="1070">
        <f>C173+SUM(C175:C177)</f>
        <v>0</v>
      </c>
      <c r="D178" s="1070">
        <f>D173+SUM(D175:D177)</f>
        <v>413906132</v>
      </c>
      <c r="E178" s="1071">
        <f>E173+SUM(E175:E177)</f>
        <v>6350000</v>
      </c>
    </row>
    <row r="179" spans="1:5" x14ac:dyDescent="0.2">
      <c r="A179" s="1057" t="s">
        <v>525</v>
      </c>
      <c r="B179" s="1238">
        <f>C179+D179+E179</f>
        <v>0</v>
      </c>
      <c r="C179" s="1239"/>
      <c r="D179" s="1239"/>
      <c r="E179" s="1065"/>
    </row>
    <row r="180" spans="1:5" x14ac:dyDescent="0.2">
      <c r="A180" s="1058" t="s">
        <v>526</v>
      </c>
      <c r="B180" s="1068">
        <f>C180+D180+E180</f>
        <v>396572740</v>
      </c>
      <c r="C180" s="1069"/>
      <c r="D180" s="1069">
        <f>46228000+350344740</f>
        <v>396572740</v>
      </c>
      <c r="E180" s="1069"/>
    </row>
    <row r="181" spans="1:5" x14ac:dyDescent="0.2">
      <c r="A181" s="1058" t="s">
        <v>527</v>
      </c>
      <c r="B181" s="1068">
        <f>C181+D181+E181</f>
        <v>17333392</v>
      </c>
      <c r="C181" s="1069"/>
      <c r="D181" s="1069">
        <v>17333392</v>
      </c>
      <c r="E181" s="1069"/>
    </row>
    <row r="182" spans="1:5" x14ac:dyDescent="0.2">
      <c r="A182" s="1058" t="s">
        <v>528</v>
      </c>
      <c r="B182" s="1068">
        <f>C182+D182+E182</f>
        <v>0</v>
      </c>
      <c r="C182" s="1069"/>
      <c r="D182" s="1069"/>
      <c r="E182" s="1069"/>
    </row>
    <row r="183" spans="1:5" ht="13.5" thickBot="1" x14ac:dyDescent="0.25">
      <c r="A183" s="1059" t="s">
        <v>1065</v>
      </c>
      <c r="B183" s="1072">
        <f>C183+D183+E183</f>
        <v>6350000</v>
      </c>
      <c r="C183" s="1242"/>
      <c r="D183" s="1242"/>
      <c r="E183" s="1074">
        <v>6350000</v>
      </c>
    </row>
    <row r="184" spans="1:5" ht="13.5" thickBot="1" x14ac:dyDescent="0.25">
      <c r="A184" s="1060" t="s">
        <v>97</v>
      </c>
      <c r="B184" s="1070">
        <f>SUM(B179:B183)</f>
        <v>420256132</v>
      </c>
      <c r="C184" s="1070">
        <f>SUM(C179:C183)</f>
        <v>0</v>
      </c>
      <c r="D184" s="1070">
        <f>SUM(D179:D183)</f>
        <v>413906132</v>
      </c>
      <c r="E184" s="1071">
        <f>SUM(E179:E183)</f>
        <v>6350000</v>
      </c>
    </row>
    <row r="186" spans="1:5" ht="30.75" customHeight="1" x14ac:dyDescent="0.2">
      <c r="A186" s="1354" t="s">
        <v>1066</v>
      </c>
      <c r="B186" s="1354"/>
      <c r="C186" s="1354"/>
      <c r="D186" s="1354"/>
      <c r="E186" s="1354"/>
    </row>
    <row r="187" spans="1:5" ht="15.75" thickBot="1" x14ac:dyDescent="0.25">
      <c r="A187" s="1046"/>
      <c r="B187" s="1046"/>
      <c r="C187" s="1046"/>
      <c r="D187" s="1046"/>
      <c r="E187" s="1048" t="s">
        <v>494</v>
      </c>
    </row>
    <row r="188" spans="1:5" ht="13.5" thickBot="1" x14ac:dyDescent="0.25">
      <c r="A188" s="1355" t="s">
        <v>520</v>
      </c>
      <c r="B188" s="1358" t="s">
        <v>966</v>
      </c>
      <c r="C188" s="1359"/>
      <c r="D188" s="1359"/>
      <c r="E188" s="1360"/>
    </row>
    <row r="189" spans="1:5" ht="13.5" thickBot="1" x14ac:dyDescent="0.25">
      <c r="A189" s="1356"/>
      <c r="B189" s="1361" t="str">
        <f>B169</f>
        <v>A projektre jóváhagyott összes
 bevétel, kiadás</v>
      </c>
      <c r="C189" s="1364" t="s">
        <v>967</v>
      </c>
      <c r="D189" s="1365"/>
      <c r="E189" s="1366"/>
    </row>
    <row r="190" spans="1:5" x14ac:dyDescent="0.2">
      <c r="A190" s="1356"/>
      <c r="B190" s="1362"/>
      <c r="C190" s="1361" t="str">
        <f>CONCATENATE(ALAPADATOK!$D$7," előttre ütemezett bevétel, kiadás")</f>
        <v>2022. előttre ütemezett bevétel, kiadás</v>
      </c>
      <c r="D190" s="1361" t="str">
        <f>CONCATENATE(ALAPADATOK!$D$7," évre ütemezett bevétel, kiadás")</f>
        <v>2022. évre ütemezett bevétel, kiadás</v>
      </c>
      <c r="E190" s="1361" t="str">
        <f>CONCATENATE(ALAPADATOK!$D$7," utánra ütemezett bevétel, kiadás")</f>
        <v>2022. utánra ütemezett bevétel, kiadás</v>
      </c>
    </row>
    <row r="191" spans="1:5" ht="13.5" thickBot="1" x14ac:dyDescent="0.25">
      <c r="A191" s="1357"/>
      <c r="B191" s="1363"/>
      <c r="C191" s="1367"/>
      <c r="D191" s="1367"/>
      <c r="E191" s="1368"/>
    </row>
    <row r="192" spans="1:5" ht="13.5" thickBot="1" x14ac:dyDescent="0.25">
      <c r="A192" s="1049" t="s">
        <v>385</v>
      </c>
      <c r="B192" s="1050" t="s">
        <v>968</v>
      </c>
      <c r="C192" s="1051" t="s">
        <v>387</v>
      </c>
      <c r="D192" s="1047" t="s">
        <v>437</v>
      </c>
      <c r="E192" s="1052" t="s">
        <v>438</v>
      </c>
    </row>
    <row r="193" spans="1:5" x14ac:dyDescent="0.2">
      <c r="A193" s="1053" t="s">
        <v>521</v>
      </c>
      <c r="B193" s="1063">
        <f>C193+D193+E193</f>
        <v>0</v>
      </c>
      <c r="C193" s="1064"/>
      <c r="D193" s="1064"/>
      <c r="E193" s="1065"/>
    </row>
    <row r="194" spans="1:5" x14ac:dyDescent="0.2">
      <c r="A194" s="1054" t="s">
        <v>522</v>
      </c>
      <c r="B194" s="1066">
        <f>C194+D194+E194</f>
        <v>0</v>
      </c>
      <c r="C194" s="1067"/>
      <c r="D194" s="1067"/>
      <c r="E194" s="1067"/>
    </row>
    <row r="195" spans="1:5" x14ac:dyDescent="0.2">
      <c r="A195" s="1055" t="s">
        <v>970</v>
      </c>
      <c r="B195" s="1068">
        <f>C195+D195+E195</f>
        <v>113731780</v>
      </c>
      <c r="C195" s="1069"/>
      <c r="D195" s="1069">
        <v>109134050</v>
      </c>
      <c r="E195" s="1069">
        <v>4597730</v>
      </c>
    </row>
    <row r="196" spans="1:5" x14ac:dyDescent="0.2">
      <c r="A196" s="1055" t="s">
        <v>109</v>
      </c>
      <c r="B196" s="1068">
        <f>C196+D196+E196</f>
        <v>0</v>
      </c>
      <c r="C196" s="1069"/>
      <c r="D196" s="1069"/>
      <c r="E196" s="1069"/>
    </row>
    <row r="197" spans="1:5" ht="13.5" thickBot="1" x14ac:dyDescent="0.25">
      <c r="A197" s="1055" t="s">
        <v>523</v>
      </c>
      <c r="B197" s="1068">
        <f>C197+D197+E197</f>
        <v>0</v>
      </c>
      <c r="C197" s="1069"/>
      <c r="D197" s="1069"/>
      <c r="E197" s="1069"/>
    </row>
    <row r="198" spans="1:5" ht="13.5" thickBot="1" x14ac:dyDescent="0.25">
      <c r="A198" s="1056" t="s">
        <v>524</v>
      </c>
      <c r="B198" s="1070">
        <f>B193+SUM(B195:B197)</f>
        <v>113731780</v>
      </c>
      <c r="C198" s="1070">
        <f>C193+SUM(C195:C197)</f>
        <v>0</v>
      </c>
      <c r="D198" s="1070">
        <f>D193+SUM(D195:D197)</f>
        <v>109134050</v>
      </c>
      <c r="E198" s="1071">
        <f>E193+SUM(E195:E197)</f>
        <v>4597730</v>
      </c>
    </row>
    <row r="199" spans="1:5" x14ac:dyDescent="0.2">
      <c r="A199" s="1057" t="s">
        <v>525</v>
      </c>
      <c r="B199" s="1238">
        <f>C199+D199+E199</f>
        <v>0</v>
      </c>
      <c r="C199" s="1239"/>
      <c r="D199" s="1239"/>
      <c r="E199" s="1065"/>
    </row>
    <row r="200" spans="1:5" x14ac:dyDescent="0.2">
      <c r="A200" s="1058" t="s">
        <v>526</v>
      </c>
      <c r="B200" s="1068">
        <f>C200+D200+E200</f>
        <v>105086150</v>
      </c>
      <c r="C200" s="1069"/>
      <c r="D200" s="1069">
        <f>6915150+98171000</f>
        <v>105086150</v>
      </c>
      <c r="E200" s="1069"/>
    </row>
    <row r="201" spans="1:5" x14ac:dyDescent="0.2">
      <c r="A201" s="1058" t="s">
        <v>527</v>
      </c>
      <c r="B201" s="1068">
        <f>C201+D201+E201</f>
        <v>4047900</v>
      </c>
      <c r="C201" s="1069"/>
      <c r="D201" s="1069">
        <v>4047900</v>
      </c>
      <c r="E201" s="1069"/>
    </row>
    <row r="202" spans="1:5" x14ac:dyDescent="0.2">
      <c r="A202" s="1058" t="s">
        <v>528</v>
      </c>
      <c r="B202" s="1068">
        <f>C202+D202+E202</f>
        <v>0</v>
      </c>
      <c r="C202" s="1069"/>
      <c r="D202" s="1069"/>
      <c r="E202" s="1069"/>
    </row>
    <row r="203" spans="1:5" ht="13.5" thickBot="1" x14ac:dyDescent="0.25">
      <c r="A203" s="1059" t="s">
        <v>1065</v>
      </c>
      <c r="B203" s="1072">
        <f>C203+D203+E203</f>
        <v>4597730</v>
      </c>
      <c r="C203" s="1073"/>
      <c r="D203" s="1073"/>
      <c r="E203" s="1074">
        <v>4597730</v>
      </c>
    </row>
    <row r="204" spans="1:5" ht="13.5" thickBot="1" x14ac:dyDescent="0.25">
      <c r="A204" s="1060" t="s">
        <v>97</v>
      </c>
      <c r="B204" s="1070">
        <f>SUM(B199:B203)</f>
        <v>113731780</v>
      </c>
      <c r="C204" s="1070">
        <f>SUM(C199:C203)</f>
        <v>0</v>
      </c>
      <c r="D204" s="1070">
        <f>SUM(D199:D203)</f>
        <v>109134050</v>
      </c>
      <c r="E204" s="1071">
        <f>SUM(E199:E203)</f>
        <v>4597730</v>
      </c>
    </row>
    <row r="206" spans="1:5" ht="14.25" x14ac:dyDescent="0.2">
      <c r="A206" s="1354" t="s">
        <v>1064</v>
      </c>
      <c r="B206" s="1354"/>
      <c r="C206" s="1354"/>
      <c r="D206" s="1354"/>
      <c r="E206" s="1354"/>
    </row>
    <row r="207" spans="1:5" ht="15.75" thickBot="1" x14ac:dyDescent="0.25">
      <c r="A207" s="1046"/>
      <c r="B207" s="1046"/>
      <c r="C207" s="1046"/>
      <c r="D207" s="1046"/>
      <c r="E207" s="1048" t="s">
        <v>494</v>
      </c>
    </row>
    <row r="208" spans="1:5" ht="13.5" thickBot="1" x14ac:dyDescent="0.25">
      <c r="A208" s="1355" t="s">
        <v>520</v>
      </c>
      <c r="B208" s="1358" t="s">
        <v>966</v>
      </c>
      <c r="C208" s="1359"/>
      <c r="D208" s="1359"/>
      <c r="E208" s="1360"/>
    </row>
    <row r="209" spans="1:5" ht="13.5" thickBot="1" x14ac:dyDescent="0.25">
      <c r="A209" s="1356"/>
      <c r="B209" s="1361" t="str">
        <f>B189</f>
        <v>A projektre jóváhagyott összes
 bevétel, kiadás</v>
      </c>
      <c r="C209" s="1364" t="s">
        <v>967</v>
      </c>
      <c r="D209" s="1365"/>
      <c r="E209" s="1366"/>
    </row>
    <row r="210" spans="1:5" x14ac:dyDescent="0.2">
      <c r="A210" s="1356"/>
      <c r="B210" s="1362"/>
      <c r="C210" s="1361" t="str">
        <f>CONCATENATE(ALAPADATOK!$D$7," előttre ütemezett bevétel, kiadás")</f>
        <v>2022. előttre ütemezett bevétel, kiadás</v>
      </c>
      <c r="D210" s="1361" t="str">
        <f>CONCATENATE(ALAPADATOK!$D$7," évre ütemezett bevétel, kiadás")</f>
        <v>2022. évre ütemezett bevétel, kiadás</v>
      </c>
      <c r="E210" s="1361" t="str">
        <f>CONCATENATE(ALAPADATOK!$D$7," utánra ütemezett bevétel, kiadás")</f>
        <v>2022. utánra ütemezett bevétel, kiadás</v>
      </c>
    </row>
    <row r="211" spans="1:5" ht="13.5" thickBot="1" x14ac:dyDescent="0.25">
      <c r="A211" s="1357"/>
      <c r="B211" s="1363"/>
      <c r="C211" s="1367"/>
      <c r="D211" s="1367"/>
      <c r="E211" s="1368"/>
    </row>
    <row r="212" spans="1:5" ht="13.5" thickBot="1" x14ac:dyDescent="0.25">
      <c r="A212" s="1049" t="s">
        <v>385</v>
      </c>
      <c r="B212" s="1050" t="s">
        <v>968</v>
      </c>
      <c r="C212" s="1051" t="s">
        <v>387</v>
      </c>
      <c r="D212" s="1047" t="s">
        <v>437</v>
      </c>
      <c r="E212" s="1052" t="s">
        <v>438</v>
      </c>
    </row>
    <row r="213" spans="1:5" x14ac:dyDescent="0.2">
      <c r="A213" s="1053" t="s">
        <v>521</v>
      </c>
      <c r="B213" s="1063">
        <f>C213+D213+E213</f>
        <v>0</v>
      </c>
      <c r="C213" s="1064"/>
      <c r="D213" s="1064"/>
      <c r="E213" s="1065"/>
    </row>
    <row r="214" spans="1:5" x14ac:dyDescent="0.2">
      <c r="A214" s="1054" t="s">
        <v>522</v>
      </c>
      <c r="B214" s="1066">
        <f>C214+D214+E214</f>
        <v>0</v>
      </c>
      <c r="C214" s="1067"/>
      <c r="D214" s="1067"/>
      <c r="E214" s="1067"/>
    </row>
    <row r="215" spans="1:5" x14ac:dyDescent="0.2">
      <c r="A215" s="1055" t="s">
        <v>970</v>
      </c>
      <c r="B215" s="1068">
        <f>C215+D215+E215</f>
        <v>308632940</v>
      </c>
      <c r="C215" s="1069"/>
      <c r="D215" s="1069">
        <v>295932940</v>
      </c>
      <c r="E215" s="1069">
        <v>12700000</v>
      </c>
    </row>
    <row r="216" spans="1:5" x14ac:dyDescent="0.2">
      <c r="A216" s="1055" t="s">
        <v>109</v>
      </c>
      <c r="B216" s="1068">
        <f>C216+D216+E216</f>
        <v>0</v>
      </c>
      <c r="C216" s="1069"/>
      <c r="D216" s="1069"/>
      <c r="E216" s="1069"/>
    </row>
    <row r="217" spans="1:5" ht="13.5" thickBot="1" x14ac:dyDescent="0.25">
      <c r="A217" s="1055" t="s">
        <v>523</v>
      </c>
      <c r="B217" s="1241">
        <f>C217+D217+E217</f>
        <v>0</v>
      </c>
      <c r="C217" s="1240"/>
      <c r="D217" s="1240"/>
      <c r="E217" s="1069"/>
    </row>
    <row r="218" spans="1:5" ht="13.5" thickBot="1" x14ac:dyDescent="0.25">
      <c r="A218" s="1056" t="s">
        <v>524</v>
      </c>
      <c r="B218" s="1070">
        <f>B213+SUM(B215:B217)</f>
        <v>308632940</v>
      </c>
      <c r="C218" s="1070">
        <f>C213+SUM(C215:C217)</f>
        <v>0</v>
      </c>
      <c r="D218" s="1070">
        <f>D213+SUM(D215:D217)</f>
        <v>295932940</v>
      </c>
      <c r="E218" s="1071">
        <f>E213+SUM(E215:E217)</f>
        <v>12700000</v>
      </c>
    </row>
    <row r="219" spans="1:5" x14ac:dyDescent="0.2">
      <c r="A219" s="1057" t="s">
        <v>525</v>
      </c>
      <c r="B219" s="1063">
        <f>C219+D219+E219</f>
        <v>0</v>
      </c>
      <c r="C219" s="1064"/>
      <c r="D219" s="1064"/>
      <c r="E219" s="1065"/>
    </row>
    <row r="220" spans="1:5" x14ac:dyDescent="0.2">
      <c r="A220" s="1058" t="s">
        <v>526</v>
      </c>
      <c r="B220" s="1068">
        <f>C220+D220+E220</f>
        <v>278341940</v>
      </c>
      <c r="C220" s="1069"/>
      <c r="D220" s="1069">
        <f>23073440+255268500</f>
        <v>278341940</v>
      </c>
      <c r="E220" s="1069"/>
    </row>
    <row r="221" spans="1:5" x14ac:dyDescent="0.2">
      <c r="A221" s="1058" t="s">
        <v>527</v>
      </c>
      <c r="B221" s="1068">
        <f>C221+D221+E221</f>
        <v>17591000</v>
      </c>
      <c r="C221" s="1069"/>
      <c r="D221" s="1069">
        <v>17591000</v>
      </c>
      <c r="E221" s="1069"/>
    </row>
    <row r="222" spans="1:5" x14ac:dyDescent="0.2">
      <c r="A222" s="1058" t="s">
        <v>528</v>
      </c>
      <c r="B222" s="1068">
        <f>C222+D222+E222</f>
        <v>0</v>
      </c>
      <c r="C222" s="1069"/>
      <c r="D222" s="1069"/>
      <c r="E222" s="1069"/>
    </row>
    <row r="223" spans="1:5" ht="13.5" thickBot="1" x14ac:dyDescent="0.25">
      <c r="A223" s="1059" t="s">
        <v>1065</v>
      </c>
      <c r="B223" s="1072">
        <f>C223+D223+E223</f>
        <v>12700000</v>
      </c>
      <c r="C223" s="1073"/>
      <c r="D223" s="1073"/>
      <c r="E223" s="1074">
        <v>12700000</v>
      </c>
    </row>
    <row r="224" spans="1:5" ht="13.5" thickBot="1" x14ac:dyDescent="0.25">
      <c r="A224" s="1060" t="s">
        <v>97</v>
      </c>
      <c r="B224" s="1070">
        <f>SUM(B219:B223)</f>
        <v>308632940</v>
      </c>
      <c r="C224" s="1070">
        <f>SUM(C219:C223)</f>
        <v>0</v>
      </c>
      <c r="D224" s="1070">
        <f>SUM(D219:D223)</f>
        <v>295932940</v>
      </c>
      <c r="E224" s="1071">
        <f>SUM(E219:E223)</f>
        <v>12700000</v>
      </c>
    </row>
  </sheetData>
  <mergeCells count="92">
    <mergeCell ref="A206:E206"/>
    <mergeCell ref="A208:A211"/>
    <mergeCell ref="B208:E208"/>
    <mergeCell ref="B209:B211"/>
    <mergeCell ref="C209:E209"/>
    <mergeCell ref="C210:C211"/>
    <mergeCell ref="D210:D211"/>
    <mergeCell ref="E210:E211"/>
    <mergeCell ref="A186:E186"/>
    <mergeCell ref="A188:A191"/>
    <mergeCell ref="B188:E188"/>
    <mergeCell ref="B189:B191"/>
    <mergeCell ref="C189:E189"/>
    <mergeCell ref="C190:C191"/>
    <mergeCell ref="D190:D191"/>
    <mergeCell ref="E190:E191"/>
    <mergeCell ref="A166:E166"/>
    <mergeCell ref="A168:A171"/>
    <mergeCell ref="B168:E168"/>
    <mergeCell ref="B169:B171"/>
    <mergeCell ref="C169:E169"/>
    <mergeCell ref="C170:C171"/>
    <mergeCell ref="D170:D171"/>
    <mergeCell ref="E170:E171"/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06:E106"/>
    <mergeCell ref="A87:A90"/>
    <mergeCell ref="B87:E87"/>
    <mergeCell ref="B88:B90"/>
    <mergeCell ref="C88:E88"/>
    <mergeCell ref="C89:C90"/>
    <mergeCell ref="D89:D90"/>
    <mergeCell ref="E89:E90"/>
    <mergeCell ref="A67:A70"/>
    <mergeCell ref="B67:E67"/>
    <mergeCell ref="B68:B70"/>
    <mergeCell ref="C68:E68"/>
    <mergeCell ref="C69:C70"/>
    <mergeCell ref="D69:D70"/>
    <mergeCell ref="E69:E70"/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  <mergeCell ref="A146:E146"/>
    <mergeCell ref="A148:A151"/>
    <mergeCell ref="B148:E148"/>
    <mergeCell ref="B149:B151"/>
    <mergeCell ref="C149:E149"/>
    <mergeCell ref="C150:C151"/>
    <mergeCell ref="D150:D151"/>
    <mergeCell ref="E150:E151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2" orientation="portrait" r:id="rId1"/>
  <headerFooter alignWithMargins="0"/>
  <rowBreaks count="3" manualBreakCount="3">
    <brk id="64" max="16383" man="1"/>
    <brk id="125" max="16383" man="1"/>
    <brk id="18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H155"/>
  <sheetViews>
    <sheetView zoomScale="130" zoomScaleNormal="130" zoomScaleSheetLayoutView="85" workbookViewId="0">
      <selection activeCell="D1" sqref="D1:F1048576"/>
    </sheetView>
  </sheetViews>
  <sheetFormatPr defaultRowHeight="12.75" x14ac:dyDescent="0.2"/>
  <cols>
    <col min="1" max="1" width="19.5" style="668" customWidth="1"/>
    <col min="2" max="2" width="72" style="327" customWidth="1"/>
    <col min="3" max="3" width="25" style="163" customWidth="1"/>
    <col min="4" max="4" width="16.6640625" style="1280" hidden="1" customWidth="1"/>
    <col min="5" max="5" width="11.83203125" style="1280" hidden="1" customWidth="1"/>
    <col min="6" max="6" width="12" style="647" hidden="1" customWidth="1"/>
    <col min="7" max="16384" width="9.33203125" style="304"/>
  </cols>
  <sheetData>
    <row r="1" spans="1:7" x14ac:dyDescent="0.2">
      <c r="A1" s="1375" t="str">
        <f>CONCATENATE("10. melléklet"," ",ALAPADATOK!A7," ",ALAPADATOK!B7," ",ALAPADATOK!C7," ",ALAPADATOK!D8," ",ALAPADATOK!E7," ",ALAPADATOK!F7," ",ALAPADATOK!G7," ",ALAPADATOK!H7)</f>
        <v>10. melléklet az 5 / 2023. ( II.24. ) önkormányzati rendelethez</v>
      </c>
      <c r="B1" s="1375"/>
      <c r="C1" s="1375"/>
    </row>
    <row r="2" spans="1:7" x14ac:dyDescent="0.2">
      <c r="A2" s="981"/>
      <c r="B2" s="981"/>
      <c r="C2" s="680"/>
    </row>
    <row r="3" spans="1:7" s="1" customFormat="1" ht="16.5" customHeight="1" thickBot="1" x14ac:dyDescent="0.25">
      <c r="A3" s="1335" t="s">
        <v>894</v>
      </c>
      <c r="B3" s="1335"/>
      <c r="C3" s="1335"/>
      <c r="D3" s="1280"/>
      <c r="E3" s="1280"/>
      <c r="F3" s="647"/>
    </row>
    <row r="4" spans="1:7" ht="13.5" thickBot="1" x14ac:dyDescent="0.25">
      <c r="A4" s="172" t="s">
        <v>153</v>
      </c>
      <c r="B4" s="79" t="s">
        <v>50</v>
      </c>
      <c r="C4" s="154" t="s">
        <v>895</v>
      </c>
    </row>
    <row r="5" spans="1:7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1280"/>
      <c r="E5" s="1280"/>
      <c r="F5" s="1285"/>
    </row>
    <row r="6" spans="1:7" s="32" customFormat="1" ht="15.95" customHeight="1" thickBot="1" x14ac:dyDescent="0.25">
      <c r="A6" s="81"/>
      <c r="B6" s="82" t="s">
        <v>52</v>
      </c>
      <c r="C6" s="155"/>
      <c r="D6" s="1280"/>
      <c r="E6" s="1280"/>
      <c r="F6" s="1285"/>
    </row>
    <row r="7" spans="1:7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1797356954</v>
      </c>
      <c r="D7" s="1284">
        <f>'15. sz. mell. Önk.'!C7+'16. sz. mell. Önk.'!C7</f>
        <v>1797356954</v>
      </c>
      <c r="E7" s="1284">
        <f t="shared" ref="E7:E71" si="0">C7-D7</f>
        <v>0</v>
      </c>
      <c r="F7" s="1285">
        <f>C7-D7</f>
        <v>0</v>
      </c>
    </row>
    <row r="8" spans="1:7" s="38" customFormat="1" ht="12" customHeight="1" thickBot="1" x14ac:dyDescent="0.25">
      <c r="A8" s="193" t="s">
        <v>85</v>
      </c>
      <c r="B8" s="180" t="s">
        <v>180</v>
      </c>
      <c r="C8" s="214">
        <v>301236891</v>
      </c>
      <c r="D8" s="1284">
        <f>'15. sz. mell. Önk.'!C8+'16. sz. mell. Önk.'!C8</f>
        <v>301236891</v>
      </c>
      <c r="E8" s="1281">
        <f t="shared" si="0"/>
        <v>0</v>
      </c>
      <c r="F8" s="1285">
        <f t="shared" ref="F8:F72" si="1">C8-D8</f>
        <v>0</v>
      </c>
    </row>
    <row r="9" spans="1:7" s="39" customFormat="1" ht="12" customHeight="1" thickBot="1" x14ac:dyDescent="0.25">
      <c r="A9" s="194" t="s">
        <v>86</v>
      </c>
      <c r="B9" s="181" t="s">
        <v>181</v>
      </c>
      <c r="C9" s="1295">
        <f>296342550-3287300-387000-399579</f>
        <v>292268671</v>
      </c>
      <c r="D9" s="1284">
        <f>'15. sz. mell. Önk.'!C9+'16. sz. mell. Önk.'!C9</f>
        <v>292268671</v>
      </c>
      <c r="E9" s="1282">
        <f t="shared" si="0"/>
        <v>0</v>
      </c>
      <c r="F9" s="1285">
        <f t="shared" si="1"/>
        <v>0</v>
      </c>
    </row>
    <row r="10" spans="1:7" s="39" customFormat="1" ht="12" customHeight="1" thickBot="1" x14ac:dyDescent="0.25">
      <c r="A10" s="194" t="s">
        <v>87</v>
      </c>
      <c r="B10" s="181" t="s">
        <v>719</v>
      </c>
      <c r="C10" s="1295">
        <f>SUM(C11:C12)</f>
        <v>1069330764</v>
      </c>
      <c r="D10" s="1284">
        <f>'15. sz. mell. Önk.'!C10+'16. sz. mell. Önk.'!C10</f>
        <v>1069330764</v>
      </c>
      <c r="E10" s="1282">
        <f t="shared" si="0"/>
        <v>0</v>
      </c>
      <c r="F10" s="1285">
        <f t="shared" si="1"/>
        <v>0</v>
      </c>
      <c r="G10" s="1150"/>
    </row>
    <row r="11" spans="1:7" s="39" customFormat="1" ht="12" customHeight="1" thickBot="1" x14ac:dyDescent="0.25">
      <c r="A11" s="194" t="s">
        <v>717</v>
      </c>
      <c r="B11" s="181" t="s">
        <v>720</v>
      </c>
      <c r="C11" s="1295">
        <f>586051194+153930858+16247520+26373220-19064897</f>
        <v>763537895</v>
      </c>
      <c r="D11" s="1284">
        <f>'15. sz. mell. Önk.'!C11+'16. sz. mell. Önk.'!C11</f>
        <v>763537895</v>
      </c>
      <c r="E11" s="1282">
        <f t="shared" si="0"/>
        <v>0</v>
      </c>
      <c r="F11" s="1285">
        <f t="shared" si="1"/>
        <v>0</v>
      </c>
    </row>
    <row r="12" spans="1:7" s="39" customFormat="1" ht="12" customHeight="1" thickBot="1" x14ac:dyDescent="0.25">
      <c r="A12" s="194" t="s">
        <v>718</v>
      </c>
      <c r="B12" s="181" t="s">
        <v>721</v>
      </c>
      <c r="C12" s="1295">
        <f>271004659+9943669-3548160+28503770-111069</f>
        <v>305792869</v>
      </c>
      <c r="D12" s="1284">
        <f>'15. sz. mell. Önk.'!C12+'16. sz. mell. Önk.'!C12</f>
        <v>305792869</v>
      </c>
      <c r="E12" s="1282">
        <f t="shared" si="0"/>
        <v>0</v>
      </c>
      <c r="F12" s="1285">
        <f t="shared" si="1"/>
        <v>0</v>
      </c>
    </row>
    <row r="13" spans="1:7" s="39" customFormat="1" ht="12" customHeight="1" thickBot="1" x14ac:dyDescent="0.25">
      <c r="A13" s="194" t="s">
        <v>88</v>
      </c>
      <c r="B13" s="181" t="s">
        <v>183</v>
      </c>
      <c r="C13" s="114">
        <f>41287119+1055000</f>
        <v>42342119</v>
      </c>
      <c r="D13" s="1284">
        <f>'15. sz. mell. Önk.'!C13+'16. sz. mell. Önk.'!C13</f>
        <v>42342119</v>
      </c>
      <c r="E13" s="1282">
        <f t="shared" si="0"/>
        <v>0</v>
      </c>
      <c r="F13" s="1285">
        <f t="shared" si="1"/>
        <v>0</v>
      </c>
    </row>
    <row r="14" spans="1:7" s="39" customFormat="1" ht="12" customHeight="1" thickBot="1" x14ac:dyDescent="0.25">
      <c r="A14" s="194" t="s">
        <v>111</v>
      </c>
      <c r="B14" s="181" t="s">
        <v>446</v>
      </c>
      <c r="C14" s="1295">
        <f>335081987-13275647-4000000-233996227</f>
        <v>83810113</v>
      </c>
      <c r="D14" s="1284">
        <f>'15. sz. mell. Önk.'!C14+'16. sz. mell. Önk.'!C14</f>
        <v>83810113</v>
      </c>
      <c r="E14" s="1282">
        <f t="shared" si="0"/>
        <v>0</v>
      </c>
      <c r="F14" s="1285">
        <f t="shared" si="1"/>
        <v>0</v>
      </c>
    </row>
    <row r="15" spans="1:7" s="38" customFormat="1" ht="12" customHeight="1" thickBot="1" x14ac:dyDescent="0.25">
      <c r="A15" s="195" t="s">
        <v>89</v>
      </c>
      <c r="B15" s="182" t="s">
        <v>389</v>
      </c>
      <c r="C15" s="248">
        <v>8368396</v>
      </c>
      <c r="D15" s="1284">
        <f>'15. sz. mell. Önk.'!C15+'16. sz. mell. Önk.'!C15</f>
        <v>8368396</v>
      </c>
      <c r="E15" s="1283">
        <f t="shared" si="0"/>
        <v>0</v>
      </c>
      <c r="F15" s="1285">
        <f t="shared" si="1"/>
        <v>0</v>
      </c>
    </row>
    <row r="16" spans="1:7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394274997</v>
      </c>
      <c r="D16" s="1284">
        <f>'15. sz. mell. Önk.'!C16+'16. sz. mell. Önk.'!C16</f>
        <v>394274997</v>
      </c>
      <c r="E16" s="1284">
        <f t="shared" si="0"/>
        <v>0</v>
      </c>
      <c r="F16" s="1285">
        <f t="shared" si="1"/>
        <v>0</v>
      </c>
    </row>
    <row r="17" spans="1:8" s="38" customFormat="1" ht="12" customHeight="1" thickBot="1" x14ac:dyDescent="0.25">
      <c r="A17" s="193" t="s">
        <v>91</v>
      </c>
      <c r="B17" s="180" t="s">
        <v>185</v>
      </c>
      <c r="C17" s="258"/>
      <c r="D17" s="1284">
        <f>'15. sz. mell. Önk.'!C17+'16. sz. mell. Önk.'!C17</f>
        <v>0</v>
      </c>
      <c r="E17" s="1281">
        <f t="shared" si="0"/>
        <v>0</v>
      </c>
      <c r="F17" s="1285">
        <f t="shared" si="1"/>
        <v>0</v>
      </c>
    </row>
    <row r="18" spans="1:8" s="38" customFormat="1" ht="12" customHeight="1" thickBot="1" x14ac:dyDescent="0.25">
      <c r="A18" s="194" t="s">
        <v>92</v>
      </c>
      <c r="B18" s="181" t="s">
        <v>186</v>
      </c>
      <c r="C18" s="99"/>
      <c r="D18" s="1284">
        <f>'15. sz. mell. Önk.'!C18+'16. sz. mell. Önk.'!C18</f>
        <v>0</v>
      </c>
      <c r="E18" s="1282">
        <f t="shared" si="0"/>
        <v>0</v>
      </c>
      <c r="F18" s="1285">
        <f t="shared" si="1"/>
        <v>0</v>
      </c>
    </row>
    <row r="19" spans="1:8" s="38" customFormat="1" ht="12" customHeight="1" thickBot="1" x14ac:dyDescent="0.25">
      <c r="A19" s="194" t="s">
        <v>93</v>
      </c>
      <c r="B19" s="181" t="s">
        <v>352</v>
      </c>
      <c r="C19" s="99"/>
      <c r="D19" s="1284">
        <f>'15. sz. mell. Önk.'!C19+'16. sz. mell. Önk.'!C19</f>
        <v>0</v>
      </c>
      <c r="E19" s="1282">
        <f t="shared" si="0"/>
        <v>0</v>
      </c>
      <c r="F19" s="1285">
        <f t="shared" si="1"/>
        <v>0</v>
      </c>
    </row>
    <row r="20" spans="1:8" s="38" customFormat="1" ht="12" customHeight="1" thickBot="1" x14ac:dyDescent="0.25">
      <c r="A20" s="194" t="s">
        <v>94</v>
      </c>
      <c r="B20" s="181" t="s">
        <v>353</v>
      </c>
      <c r="C20" s="99"/>
      <c r="D20" s="1284">
        <f>'15. sz. mell. Önk.'!C20+'16. sz. mell. Önk.'!C20</f>
        <v>0</v>
      </c>
      <c r="E20" s="1282">
        <f t="shared" si="0"/>
        <v>0</v>
      </c>
      <c r="F20" s="1285">
        <f t="shared" si="1"/>
        <v>0</v>
      </c>
    </row>
    <row r="21" spans="1:8" s="38" customFormat="1" ht="12" customHeight="1" thickBot="1" x14ac:dyDescent="0.25">
      <c r="A21" s="194" t="s">
        <v>95</v>
      </c>
      <c r="B21" s="181" t="s">
        <v>187</v>
      </c>
      <c r="C21" s="1296">
        <f>219593831+5000000+93272787+38972292+4958699+32477388</f>
        <v>394274997</v>
      </c>
      <c r="D21" s="1284">
        <f>'15. sz. mell. Önk.'!C21+'16. sz. mell. Önk.'!C21</f>
        <v>394274997</v>
      </c>
      <c r="E21" s="1282">
        <f t="shared" si="0"/>
        <v>0</v>
      </c>
      <c r="F21" s="1285">
        <f t="shared" si="1"/>
        <v>0</v>
      </c>
    </row>
    <row r="22" spans="1:8" s="39" customFormat="1" ht="12" customHeight="1" thickBot="1" x14ac:dyDescent="0.25">
      <c r="A22" s="195" t="s">
        <v>104</v>
      </c>
      <c r="B22" s="182" t="s">
        <v>188</v>
      </c>
      <c r="C22" s="251">
        <f>56195378+37562787+38972292</f>
        <v>132730457</v>
      </c>
      <c r="D22" s="1284">
        <f>'15. sz. mell. Önk.'!C22+'16. sz. mell. Önk.'!C22</f>
        <v>132730457</v>
      </c>
      <c r="E22" s="1283">
        <f t="shared" si="0"/>
        <v>0</v>
      </c>
      <c r="F22" s="1285">
        <f t="shared" si="1"/>
        <v>0</v>
      </c>
    </row>
    <row r="23" spans="1:8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1248898102</v>
      </c>
      <c r="D23" s="1284">
        <f>'15. sz. mell. Önk.'!C23+'16. sz. mell. Önk.'!C23</f>
        <v>1248898102</v>
      </c>
      <c r="E23" s="1284">
        <f t="shared" si="0"/>
        <v>0</v>
      </c>
      <c r="F23" s="1285">
        <f t="shared" si="1"/>
        <v>0</v>
      </c>
    </row>
    <row r="24" spans="1:8" s="39" customFormat="1" ht="12" customHeight="1" thickBot="1" x14ac:dyDescent="0.25">
      <c r="A24" s="193" t="s">
        <v>74</v>
      </c>
      <c r="B24" s="180" t="s">
        <v>190</v>
      </c>
      <c r="C24" s="677">
        <f>28773000-20388540</f>
        <v>8384460</v>
      </c>
      <c r="D24" s="1284">
        <f>'15. sz. mell. Önk.'!C24+'16. sz. mell. Önk.'!C24</f>
        <v>8384460</v>
      </c>
      <c r="E24" s="1281">
        <f t="shared" si="0"/>
        <v>0</v>
      </c>
      <c r="F24" s="1285">
        <f t="shared" si="1"/>
        <v>0</v>
      </c>
    </row>
    <row r="25" spans="1:8" s="38" customFormat="1" ht="12" customHeight="1" thickBot="1" x14ac:dyDescent="0.25">
      <c r="A25" s="194" t="s">
        <v>75</v>
      </c>
      <c r="B25" s="181" t="s">
        <v>191</v>
      </c>
      <c r="C25" s="248"/>
      <c r="D25" s="1284">
        <f>'15. sz. mell. Önk.'!C25+'16. sz. mell. Önk.'!C25</f>
        <v>0</v>
      </c>
      <c r="E25" s="1282">
        <f t="shared" si="0"/>
        <v>0</v>
      </c>
      <c r="F25" s="1285">
        <f t="shared" si="1"/>
        <v>0</v>
      </c>
    </row>
    <row r="26" spans="1:8" s="39" customFormat="1" ht="12" customHeight="1" thickBot="1" x14ac:dyDescent="0.25">
      <c r="A26" s="194" t="s">
        <v>76</v>
      </c>
      <c r="B26" s="181" t="s">
        <v>354</v>
      </c>
      <c r="C26" s="248"/>
      <c r="D26" s="1284">
        <f>'15. sz. mell. Önk.'!C26+'16. sz. mell. Önk.'!C26</f>
        <v>0</v>
      </c>
      <c r="E26" s="1282">
        <f t="shared" si="0"/>
        <v>0</v>
      </c>
      <c r="F26" s="1285">
        <f t="shared" si="1"/>
        <v>0</v>
      </c>
    </row>
    <row r="27" spans="1:8" s="39" customFormat="1" ht="12" customHeight="1" thickBot="1" x14ac:dyDescent="0.25">
      <c r="A27" s="194" t="s">
        <v>77</v>
      </c>
      <c r="B27" s="181" t="s">
        <v>355</v>
      </c>
      <c r="C27" s="248"/>
      <c r="D27" s="1284">
        <f>'15. sz. mell. Önk.'!C27+'16. sz. mell. Önk.'!C27</f>
        <v>0</v>
      </c>
      <c r="E27" s="1282">
        <f t="shared" si="0"/>
        <v>0</v>
      </c>
      <c r="F27" s="1285">
        <f t="shared" si="1"/>
        <v>0</v>
      </c>
    </row>
    <row r="28" spans="1:8" s="39" customFormat="1" ht="12" customHeight="1" thickBot="1" x14ac:dyDescent="0.25">
      <c r="A28" s="194" t="s">
        <v>122</v>
      </c>
      <c r="B28" s="181" t="s">
        <v>192</v>
      </c>
      <c r="C28" s="248">
        <f>242049642+141726248+780000830+76736922</f>
        <v>1240513642</v>
      </c>
      <c r="D28" s="1284">
        <f>'15. sz. mell. Önk.'!C28+'16. sz. mell. Önk.'!C28</f>
        <v>1240513642</v>
      </c>
      <c r="E28" s="1282">
        <f t="shared" si="0"/>
        <v>0</v>
      </c>
      <c r="F28" s="1285">
        <f t="shared" si="1"/>
        <v>0</v>
      </c>
      <c r="H28" s="1201"/>
    </row>
    <row r="29" spans="1:8" s="39" customFormat="1" ht="12" customHeight="1" thickBot="1" x14ac:dyDescent="0.25">
      <c r="A29" s="195" t="s">
        <v>123</v>
      </c>
      <c r="B29" s="182" t="s">
        <v>193</v>
      </c>
      <c r="C29" s="251">
        <f>242049642+137436248+780000830+76736922</f>
        <v>1236223642</v>
      </c>
      <c r="D29" s="1284">
        <f>'15. sz. mell. Önk.'!C29+'16. sz. mell. Önk.'!C29</f>
        <v>1236223642</v>
      </c>
      <c r="E29" s="1283">
        <f t="shared" si="0"/>
        <v>0</v>
      </c>
      <c r="F29" s="1285">
        <f t="shared" si="1"/>
        <v>0</v>
      </c>
    </row>
    <row r="30" spans="1:8" s="39" customFormat="1" ht="12" customHeight="1" thickBot="1" x14ac:dyDescent="0.25">
      <c r="A30" s="25" t="s">
        <v>124</v>
      </c>
      <c r="B30" s="18" t="s">
        <v>194</v>
      </c>
      <c r="C30" s="259">
        <f>+C31++C35+C36</f>
        <v>474994000</v>
      </c>
      <c r="D30" s="1284">
        <f>'15. sz. mell. Önk.'!C30+'16. sz. mell. Önk.'!C30</f>
        <v>474994000</v>
      </c>
      <c r="E30" s="1284">
        <f t="shared" si="0"/>
        <v>0</v>
      </c>
      <c r="F30" s="1285">
        <f t="shared" si="1"/>
        <v>0</v>
      </c>
    </row>
    <row r="31" spans="1:8" s="39" customFormat="1" ht="12" customHeight="1" thickBot="1" x14ac:dyDescent="0.25">
      <c r="A31" s="193" t="s">
        <v>195</v>
      </c>
      <c r="B31" s="180" t="s">
        <v>562</v>
      </c>
      <c r="C31" s="1297">
        <f>SUM(C32:C33)</f>
        <v>459602000</v>
      </c>
      <c r="D31" s="1284">
        <f>'15. sz. mell. Önk.'!C31+'16. sz. mell. Önk.'!C31</f>
        <v>459602000</v>
      </c>
      <c r="E31" s="1281">
        <f t="shared" si="0"/>
        <v>0</v>
      </c>
      <c r="F31" s="1285">
        <f t="shared" si="1"/>
        <v>0</v>
      </c>
    </row>
    <row r="32" spans="1:8" s="39" customFormat="1" ht="12" customHeight="1" thickBot="1" x14ac:dyDescent="0.25">
      <c r="A32" s="194" t="s">
        <v>196</v>
      </c>
      <c r="B32" s="181" t="s">
        <v>201</v>
      </c>
      <c r="C32" s="99">
        <f>85000000+5500000</f>
        <v>90500000</v>
      </c>
      <c r="D32" s="1284">
        <f>'15. sz. mell. Önk.'!C32+'16. sz. mell. Önk.'!C32</f>
        <v>90500000</v>
      </c>
      <c r="E32" s="1282">
        <f t="shared" si="0"/>
        <v>0</v>
      </c>
      <c r="F32" s="1285">
        <f t="shared" si="1"/>
        <v>0</v>
      </c>
    </row>
    <row r="33" spans="1:6" s="39" customFormat="1" ht="12" customHeight="1" thickBot="1" x14ac:dyDescent="0.25">
      <c r="A33" s="194" t="s">
        <v>197</v>
      </c>
      <c r="B33" s="234" t="s">
        <v>561</v>
      </c>
      <c r="C33" s="1296">
        <f>286055000+50000000+33047000</f>
        <v>369102000</v>
      </c>
      <c r="D33" s="1284">
        <f>'15. sz. mell. Önk.'!C33+'16. sz. mell. Önk.'!C33</f>
        <v>369102000</v>
      </c>
      <c r="E33" s="1282">
        <f t="shared" si="0"/>
        <v>0</v>
      </c>
      <c r="F33" s="1285">
        <f t="shared" si="1"/>
        <v>0</v>
      </c>
    </row>
    <row r="34" spans="1:6" s="39" customFormat="1" ht="12" customHeight="1" thickBot="1" x14ac:dyDescent="0.25">
      <c r="A34" s="194" t="s">
        <v>198</v>
      </c>
      <c r="B34" s="181" t="s">
        <v>472</v>
      </c>
      <c r="C34" s="248"/>
      <c r="D34" s="1284">
        <f>'15. sz. mell. Önk.'!C34+'16. sz. mell. Önk.'!C34</f>
        <v>0</v>
      </c>
      <c r="E34" s="1282">
        <f t="shared" si="0"/>
        <v>0</v>
      </c>
      <c r="F34" s="1285">
        <f t="shared" si="1"/>
        <v>0</v>
      </c>
    </row>
    <row r="35" spans="1:6" s="39" customFormat="1" ht="12" customHeight="1" thickBot="1" x14ac:dyDescent="0.25">
      <c r="A35" s="194" t="s">
        <v>199</v>
      </c>
      <c r="B35" s="181" t="s">
        <v>203</v>
      </c>
      <c r="C35" s="1296">
        <v>592000</v>
      </c>
      <c r="D35" s="1284">
        <f>'15. sz. mell. Önk.'!C35+'16. sz. mell. Önk.'!C35</f>
        <v>592000</v>
      </c>
      <c r="E35" s="1282">
        <f t="shared" si="0"/>
        <v>0</v>
      </c>
      <c r="F35" s="1285">
        <f t="shared" si="1"/>
        <v>0</v>
      </c>
    </row>
    <row r="36" spans="1:6" s="39" customFormat="1" ht="12" customHeight="1" thickBot="1" x14ac:dyDescent="0.25">
      <c r="A36" s="195" t="s">
        <v>200</v>
      </c>
      <c r="B36" s="182" t="s">
        <v>204</v>
      </c>
      <c r="C36" s="251">
        <v>14800000</v>
      </c>
      <c r="D36" s="1284">
        <f>'15. sz. mell. Önk.'!C36+'16. sz. mell. Önk.'!C36</f>
        <v>14800000</v>
      </c>
      <c r="E36" s="1283">
        <f t="shared" si="0"/>
        <v>0</v>
      </c>
      <c r="F36" s="1285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257">
        <f>SUM(C38:C48)</f>
        <v>76673449</v>
      </c>
      <c r="D37" s="1284">
        <f>'15. sz. mell. Önk.'!C37+'16. sz. mell. Önk.'!C37</f>
        <v>76673449</v>
      </c>
      <c r="E37" s="1284">
        <f t="shared" si="0"/>
        <v>0</v>
      </c>
      <c r="F37" s="1285">
        <f t="shared" si="1"/>
        <v>0</v>
      </c>
    </row>
    <row r="38" spans="1:6" s="39" customFormat="1" ht="12" customHeight="1" thickBot="1" x14ac:dyDescent="0.25">
      <c r="A38" s="193" t="s">
        <v>78</v>
      </c>
      <c r="B38" s="180" t="s">
        <v>207</v>
      </c>
      <c r="C38" s="677"/>
      <c r="D38" s="1284">
        <f>'15. sz. mell. Önk.'!C38+'16. sz. mell. Önk.'!C38</f>
        <v>0</v>
      </c>
      <c r="E38" s="1281">
        <f t="shared" si="0"/>
        <v>0</v>
      </c>
      <c r="F38" s="1285">
        <f t="shared" si="1"/>
        <v>0</v>
      </c>
    </row>
    <row r="39" spans="1:6" s="39" customFormat="1" ht="12" customHeight="1" thickBot="1" x14ac:dyDescent="0.25">
      <c r="A39" s="194" t="s">
        <v>79</v>
      </c>
      <c r="B39" s="181" t="s">
        <v>208</v>
      </c>
      <c r="C39" s="248">
        <f>13481102</f>
        <v>13481102</v>
      </c>
      <c r="D39" s="1284">
        <f>'15. sz. mell. Önk.'!C39+'16. sz. mell. Önk.'!C39</f>
        <v>13481102</v>
      </c>
      <c r="E39" s="1282">
        <f t="shared" si="0"/>
        <v>0</v>
      </c>
      <c r="F39" s="1285">
        <f t="shared" si="1"/>
        <v>0</v>
      </c>
    </row>
    <row r="40" spans="1:6" s="39" customFormat="1" ht="12" customHeight="1" thickBot="1" x14ac:dyDescent="0.25">
      <c r="A40" s="194" t="s">
        <v>80</v>
      </c>
      <c r="B40" s="181" t="s">
        <v>209</v>
      </c>
      <c r="C40" s="248">
        <f>13152488+250000+4500000+3000000</f>
        <v>20902488</v>
      </c>
      <c r="D40" s="1284">
        <f>'15. sz. mell. Önk.'!C40+'16. sz. mell. Önk.'!C40</f>
        <v>20902488</v>
      </c>
      <c r="E40" s="1282">
        <f t="shared" si="0"/>
        <v>0</v>
      </c>
      <c r="F40" s="1285">
        <f t="shared" si="1"/>
        <v>0</v>
      </c>
    </row>
    <row r="41" spans="1:6" s="39" customFormat="1" ht="12" customHeight="1" thickBot="1" x14ac:dyDescent="0.25">
      <c r="A41" s="194" t="s">
        <v>126</v>
      </c>
      <c r="B41" s="181" t="s">
        <v>210</v>
      </c>
      <c r="C41" s="248">
        <v>9500000</v>
      </c>
      <c r="D41" s="1284">
        <f>'15. sz. mell. Önk.'!C41+'16. sz. mell. Önk.'!C41</f>
        <v>9500000</v>
      </c>
      <c r="E41" s="1282">
        <f t="shared" si="0"/>
        <v>0</v>
      </c>
      <c r="F41" s="1285">
        <f t="shared" si="1"/>
        <v>0</v>
      </c>
    </row>
    <row r="42" spans="1:6" s="39" customFormat="1" ht="12" customHeight="1" thickBot="1" x14ac:dyDescent="0.25">
      <c r="A42" s="194" t="s">
        <v>127</v>
      </c>
      <c r="B42" s="181" t="s">
        <v>211</v>
      </c>
      <c r="C42" s="248"/>
      <c r="D42" s="1284">
        <f>'15. sz. mell. Önk.'!C42+'16. sz. mell. Önk.'!C42</f>
        <v>0</v>
      </c>
      <c r="E42" s="1282">
        <f t="shared" si="0"/>
        <v>0</v>
      </c>
      <c r="F42" s="1285">
        <f t="shared" si="1"/>
        <v>0</v>
      </c>
    </row>
    <row r="43" spans="1:6" s="39" customFormat="1" ht="12" customHeight="1" thickBot="1" x14ac:dyDescent="0.25">
      <c r="A43" s="194" t="s">
        <v>128</v>
      </c>
      <c r="B43" s="181" t="s">
        <v>212</v>
      </c>
      <c r="C43" s="248">
        <f>8508178+67500+1215000+810000</f>
        <v>10600678</v>
      </c>
      <c r="D43" s="1284">
        <f>'15. sz. mell. Önk.'!C43+'16. sz. mell. Önk.'!C43</f>
        <v>10600678</v>
      </c>
      <c r="E43" s="1282">
        <f t="shared" si="0"/>
        <v>0</v>
      </c>
      <c r="F43" s="1285">
        <f t="shared" si="1"/>
        <v>0</v>
      </c>
    </row>
    <row r="44" spans="1:6" s="39" customFormat="1" ht="12" customHeight="1" thickBot="1" x14ac:dyDescent="0.25">
      <c r="A44" s="194" t="s">
        <v>129</v>
      </c>
      <c r="B44" s="181" t="s">
        <v>213</v>
      </c>
      <c r="C44" s="248">
        <v>19458900</v>
      </c>
      <c r="D44" s="1284">
        <f>'15. sz. mell. Önk.'!C44+'16. sz. mell. Önk.'!C44</f>
        <v>19458900</v>
      </c>
      <c r="E44" s="1282">
        <f t="shared" si="0"/>
        <v>0</v>
      </c>
      <c r="F44" s="1285">
        <f t="shared" si="1"/>
        <v>0</v>
      </c>
    </row>
    <row r="45" spans="1:6" s="39" customFormat="1" ht="12" customHeight="1" thickBot="1" x14ac:dyDescent="0.25">
      <c r="A45" s="194" t="s">
        <v>130</v>
      </c>
      <c r="B45" s="181" t="s">
        <v>214</v>
      </c>
      <c r="C45" s="248"/>
      <c r="D45" s="1284">
        <f>'15. sz. mell. Önk.'!C45+'16. sz. mell. Önk.'!C45</f>
        <v>0</v>
      </c>
      <c r="E45" s="1282">
        <f t="shared" si="0"/>
        <v>0</v>
      </c>
      <c r="F45" s="1285">
        <f t="shared" si="1"/>
        <v>0</v>
      </c>
    </row>
    <row r="46" spans="1:6" s="39" customFormat="1" ht="12" customHeight="1" thickBot="1" x14ac:dyDescent="0.25">
      <c r="A46" s="194" t="s">
        <v>205</v>
      </c>
      <c r="B46" s="181" t="s">
        <v>215</v>
      </c>
      <c r="C46" s="248"/>
      <c r="D46" s="1284">
        <f>'15. sz. mell. Önk.'!C46+'16. sz. mell. Önk.'!C46</f>
        <v>0</v>
      </c>
      <c r="E46" s="1282">
        <f t="shared" si="0"/>
        <v>0</v>
      </c>
      <c r="F46" s="1285">
        <f t="shared" si="1"/>
        <v>0</v>
      </c>
    </row>
    <row r="47" spans="1:6" s="39" customFormat="1" ht="12" customHeight="1" thickBot="1" x14ac:dyDescent="0.25">
      <c r="A47" s="195" t="s">
        <v>206</v>
      </c>
      <c r="B47" s="182" t="s">
        <v>391</v>
      </c>
      <c r="C47" s="1141">
        <v>1622680</v>
      </c>
      <c r="D47" s="1284">
        <f>'15. sz. mell. Önk.'!C47+'16. sz. mell. Önk.'!C47</f>
        <v>1622680</v>
      </c>
      <c r="E47" s="1282">
        <f t="shared" si="0"/>
        <v>0</v>
      </c>
      <c r="F47" s="1285">
        <f t="shared" si="1"/>
        <v>0</v>
      </c>
    </row>
    <row r="48" spans="1:6" s="39" customFormat="1" ht="12" customHeight="1" thickBot="1" x14ac:dyDescent="0.25">
      <c r="A48" s="195" t="s">
        <v>392</v>
      </c>
      <c r="B48" s="182" t="s">
        <v>216</v>
      </c>
      <c r="C48" s="251">
        <v>1107601</v>
      </c>
      <c r="D48" s="1284">
        <f>'15. sz. mell. Önk.'!C48+'16. sz. mell. Önk.'!C48</f>
        <v>1107601</v>
      </c>
      <c r="E48" s="1283">
        <f t="shared" si="0"/>
        <v>0</v>
      </c>
      <c r="F48" s="1285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257">
        <f>SUM(C50:C54)</f>
        <v>48000000</v>
      </c>
      <c r="D49" s="1284">
        <f>'15. sz. mell. Önk.'!C49+'16. sz. mell. Önk.'!C49</f>
        <v>48000000</v>
      </c>
      <c r="E49" s="1284">
        <f t="shared" si="0"/>
        <v>0</v>
      </c>
      <c r="F49" s="1285">
        <f t="shared" si="1"/>
        <v>0</v>
      </c>
    </row>
    <row r="50" spans="1:6" s="39" customFormat="1" ht="12" customHeight="1" thickBot="1" x14ac:dyDescent="0.25">
      <c r="A50" s="193" t="s">
        <v>81</v>
      </c>
      <c r="B50" s="180" t="s">
        <v>221</v>
      </c>
      <c r="C50" s="677"/>
      <c r="D50" s="1284">
        <f>'15. sz. mell. Önk.'!C50+'16. sz. mell. Önk.'!C50</f>
        <v>0</v>
      </c>
      <c r="E50" s="1281">
        <f t="shared" si="0"/>
        <v>0</v>
      </c>
      <c r="F50" s="1285">
        <f t="shared" si="1"/>
        <v>0</v>
      </c>
    </row>
    <row r="51" spans="1:6" s="39" customFormat="1" ht="12" customHeight="1" thickBot="1" x14ac:dyDescent="0.25">
      <c r="A51" s="194" t="s">
        <v>82</v>
      </c>
      <c r="B51" s="181" t="s">
        <v>222</v>
      </c>
      <c r="C51" s="248">
        <v>48000000</v>
      </c>
      <c r="D51" s="1284">
        <f>'15. sz. mell. Önk.'!C51+'16. sz. mell. Önk.'!C51</f>
        <v>48000000</v>
      </c>
      <c r="E51" s="1282">
        <f t="shared" si="0"/>
        <v>0</v>
      </c>
      <c r="F51" s="1285">
        <f t="shared" si="1"/>
        <v>0</v>
      </c>
    </row>
    <row r="52" spans="1:6" s="39" customFormat="1" ht="12" customHeight="1" thickBot="1" x14ac:dyDescent="0.25">
      <c r="A52" s="194" t="s">
        <v>218</v>
      </c>
      <c r="B52" s="181" t="s">
        <v>223</v>
      </c>
      <c r="C52" s="248"/>
      <c r="D52" s="1284">
        <f>'15. sz. mell. Önk.'!C52+'16. sz. mell. Önk.'!C52</f>
        <v>0</v>
      </c>
      <c r="E52" s="1282">
        <f t="shared" si="0"/>
        <v>0</v>
      </c>
      <c r="F52" s="1285">
        <f t="shared" si="1"/>
        <v>0</v>
      </c>
    </row>
    <row r="53" spans="1:6" s="39" customFormat="1" ht="12" customHeight="1" thickBot="1" x14ac:dyDescent="0.25">
      <c r="A53" s="194" t="s">
        <v>219</v>
      </c>
      <c r="B53" s="181" t="s">
        <v>224</v>
      </c>
      <c r="C53" s="248"/>
      <c r="D53" s="1284">
        <f>'15. sz. mell. Önk.'!C53+'16. sz. mell. Önk.'!C53</f>
        <v>0</v>
      </c>
      <c r="E53" s="1282">
        <f t="shared" si="0"/>
        <v>0</v>
      </c>
      <c r="F53" s="1285">
        <f t="shared" si="1"/>
        <v>0</v>
      </c>
    </row>
    <row r="54" spans="1:6" s="39" customFormat="1" ht="12" customHeight="1" thickBot="1" x14ac:dyDescent="0.25">
      <c r="A54" s="195" t="s">
        <v>220</v>
      </c>
      <c r="B54" s="182" t="s">
        <v>225</v>
      </c>
      <c r="C54" s="251"/>
      <c r="D54" s="1284">
        <f>'15. sz. mell. Önk.'!C54+'16. sz. mell. Önk.'!C54</f>
        <v>0</v>
      </c>
      <c r="E54" s="1283">
        <f t="shared" si="0"/>
        <v>0</v>
      </c>
      <c r="F54" s="1285">
        <f t="shared" si="1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257">
        <f>SUM(C56:C58)</f>
        <v>1635987</v>
      </c>
      <c r="D55" s="1284">
        <f>'15. sz. mell. Önk.'!C55+'16. sz. mell. Önk.'!C55</f>
        <v>1635987</v>
      </c>
      <c r="E55" s="1284">
        <f t="shared" si="0"/>
        <v>0</v>
      </c>
      <c r="F55" s="1285">
        <f t="shared" si="1"/>
        <v>0</v>
      </c>
    </row>
    <row r="56" spans="1:6" s="39" customFormat="1" ht="12" customHeight="1" thickBot="1" x14ac:dyDescent="0.25">
      <c r="A56" s="193" t="s">
        <v>83</v>
      </c>
      <c r="B56" s="180" t="s">
        <v>227</v>
      </c>
      <c r="C56" s="258">
        <v>1000000</v>
      </c>
      <c r="D56" s="1284">
        <f>'15. sz. mell. Önk.'!C56+'16. sz. mell. Önk.'!C56</f>
        <v>1000000</v>
      </c>
      <c r="E56" s="1281">
        <f t="shared" si="0"/>
        <v>0</v>
      </c>
      <c r="F56" s="1285">
        <f t="shared" si="1"/>
        <v>0</v>
      </c>
    </row>
    <row r="57" spans="1:6" s="39" customFormat="1" ht="12" customHeight="1" thickBot="1" x14ac:dyDescent="0.25">
      <c r="A57" s="194" t="s">
        <v>84</v>
      </c>
      <c r="B57" s="181" t="s">
        <v>356</v>
      </c>
      <c r="C57" s="248">
        <v>200000</v>
      </c>
      <c r="D57" s="1284">
        <f>'15. sz. mell. Önk.'!C57+'16. sz. mell. Önk.'!C57</f>
        <v>200000</v>
      </c>
      <c r="E57" s="1282">
        <f t="shared" si="0"/>
        <v>0</v>
      </c>
      <c r="F57" s="1285">
        <f t="shared" si="1"/>
        <v>0</v>
      </c>
    </row>
    <row r="58" spans="1:6" s="39" customFormat="1" ht="12" customHeight="1" thickBot="1" x14ac:dyDescent="0.25">
      <c r="A58" s="194" t="s">
        <v>230</v>
      </c>
      <c r="B58" s="181" t="s">
        <v>228</v>
      </c>
      <c r="C58" s="1296">
        <f>435987</f>
        <v>435987</v>
      </c>
      <c r="D58" s="1284">
        <f>'15. sz. mell. Önk.'!C58+'16. sz. mell. Önk.'!C58</f>
        <v>435987</v>
      </c>
      <c r="E58" s="1282">
        <f t="shared" si="0"/>
        <v>0</v>
      </c>
      <c r="F58" s="1285">
        <f t="shared" si="1"/>
        <v>0</v>
      </c>
    </row>
    <row r="59" spans="1:6" s="39" customFormat="1" ht="12" customHeight="1" thickBot="1" x14ac:dyDescent="0.25">
      <c r="A59" s="195" t="s">
        <v>231</v>
      </c>
      <c r="B59" s="182" t="s">
        <v>229</v>
      </c>
      <c r="C59" s="100"/>
      <c r="D59" s="1284">
        <f>'15. sz. mell. Önk.'!C59+'16. sz. mell. Önk.'!C59</f>
        <v>0</v>
      </c>
      <c r="E59" s="1283">
        <f t="shared" si="0"/>
        <v>0</v>
      </c>
      <c r="F59" s="1285">
        <f t="shared" si="1"/>
        <v>0</v>
      </c>
    </row>
    <row r="60" spans="1:6" s="39" customFormat="1" ht="12" customHeight="1" thickBot="1" x14ac:dyDescent="0.25">
      <c r="A60" s="25" t="s">
        <v>23</v>
      </c>
      <c r="B60" s="105" t="s">
        <v>232</v>
      </c>
      <c r="C60" s="257">
        <f>SUM(C61:C63)</f>
        <v>12020788</v>
      </c>
      <c r="D60" s="1284">
        <f>'15. sz. mell. Önk.'!C60+'16. sz. mell. Önk.'!C60</f>
        <v>12020788</v>
      </c>
      <c r="E60" s="1284">
        <f t="shared" si="0"/>
        <v>0</v>
      </c>
      <c r="F60" s="1285">
        <f t="shared" si="1"/>
        <v>0</v>
      </c>
    </row>
    <row r="61" spans="1:6" s="39" customFormat="1" ht="12" customHeight="1" thickBot="1" x14ac:dyDescent="0.25">
      <c r="A61" s="193" t="s">
        <v>132</v>
      </c>
      <c r="B61" s="180" t="s">
        <v>234</v>
      </c>
      <c r="C61" s="248"/>
      <c r="D61" s="1284">
        <f>'15. sz. mell. Önk.'!C61+'16. sz. mell. Önk.'!C61</f>
        <v>0</v>
      </c>
      <c r="E61" s="1281">
        <f t="shared" si="0"/>
        <v>0</v>
      </c>
      <c r="F61" s="1285">
        <f t="shared" si="1"/>
        <v>0</v>
      </c>
    </row>
    <row r="62" spans="1:6" s="39" customFormat="1" ht="12" customHeight="1" thickBot="1" x14ac:dyDescent="0.25">
      <c r="A62" s="194" t="s">
        <v>133</v>
      </c>
      <c r="B62" s="181" t="s">
        <v>357</v>
      </c>
      <c r="C62" s="248"/>
      <c r="D62" s="1284">
        <f>'15. sz. mell. Önk.'!C62+'16. sz. mell. Önk.'!C62</f>
        <v>0</v>
      </c>
      <c r="E62" s="1282">
        <f t="shared" si="0"/>
        <v>0</v>
      </c>
      <c r="F62" s="1285">
        <f t="shared" si="1"/>
        <v>0</v>
      </c>
    </row>
    <row r="63" spans="1:6" s="39" customFormat="1" ht="12" customHeight="1" thickBot="1" x14ac:dyDescent="0.25">
      <c r="A63" s="194" t="s">
        <v>158</v>
      </c>
      <c r="B63" s="181" t="s">
        <v>235</v>
      </c>
      <c r="C63" s="1296">
        <f>12020788</f>
        <v>12020788</v>
      </c>
      <c r="D63" s="1284">
        <f>'15. sz. mell. Önk.'!C63+'16. sz. mell. Önk.'!C63</f>
        <v>12020788</v>
      </c>
      <c r="E63" s="1282">
        <f t="shared" si="0"/>
        <v>0</v>
      </c>
      <c r="F63" s="1285">
        <f t="shared" si="1"/>
        <v>0</v>
      </c>
    </row>
    <row r="64" spans="1:6" s="39" customFormat="1" ht="12" customHeight="1" thickBot="1" x14ac:dyDescent="0.25">
      <c r="A64" s="195" t="s">
        <v>233</v>
      </c>
      <c r="B64" s="182" t="s">
        <v>236</v>
      </c>
      <c r="C64" s="248"/>
      <c r="D64" s="1284">
        <f>'15. sz. mell. Önk.'!C64+'16. sz. mell. Önk.'!C64</f>
        <v>0</v>
      </c>
      <c r="E64" s="1283">
        <f t="shared" si="0"/>
        <v>0</v>
      </c>
      <c r="F64" s="1285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4053854277</v>
      </c>
      <c r="D65" s="1284">
        <f>'15. sz. mell. Önk.'!C65+'16. sz. mell. Önk.'!C65</f>
        <v>4053854277</v>
      </c>
      <c r="E65" s="1284">
        <f t="shared" si="0"/>
        <v>0</v>
      </c>
      <c r="F65" s="1285">
        <f t="shared" si="1"/>
        <v>0</v>
      </c>
    </row>
    <row r="66" spans="1:6" s="39" customFormat="1" ht="12" customHeight="1" thickBot="1" x14ac:dyDescent="0.2">
      <c r="A66" s="196" t="s">
        <v>327</v>
      </c>
      <c r="B66" s="105" t="s">
        <v>239</v>
      </c>
      <c r="C66" s="257">
        <f>SUM(C67:C69)</f>
        <v>1217733250</v>
      </c>
      <c r="D66" s="1284">
        <f>'15. sz. mell. Önk.'!C66+'16. sz. mell. Önk.'!C66</f>
        <v>1217733250</v>
      </c>
      <c r="E66" s="1284">
        <f t="shared" si="0"/>
        <v>0</v>
      </c>
      <c r="F66" s="1285">
        <f t="shared" si="1"/>
        <v>0</v>
      </c>
    </row>
    <row r="67" spans="1:6" s="39" customFormat="1" ht="12" customHeight="1" thickBot="1" x14ac:dyDescent="0.25">
      <c r="A67" s="193" t="s">
        <v>270</v>
      </c>
      <c r="B67" s="180" t="s">
        <v>240</v>
      </c>
      <c r="C67" s="248">
        <f>187733250-20000000</f>
        <v>167733250</v>
      </c>
      <c r="D67" s="1284">
        <f>'15. sz. mell. Önk.'!C67+'16. sz. mell. Önk.'!C67</f>
        <v>167733250</v>
      </c>
      <c r="E67" s="1281">
        <f t="shared" si="0"/>
        <v>0</v>
      </c>
      <c r="F67" s="1285">
        <f t="shared" si="1"/>
        <v>0</v>
      </c>
    </row>
    <row r="68" spans="1:6" s="39" customFormat="1" ht="12" customHeight="1" thickBot="1" x14ac:dyDescent="0.25">
      <c r="A68" s="194" t="s">
        <v>279</v>
      </c>
      <c r="B68" s="181" t="s">
        <v>241</v>
      </c>
      <c r="C68" s="248">
        <f>1000000000+50000000</f>
        <v>1050000000</v>
      </c>
      <c r="D68" s="1284">
        <f>'15. sz. mell. Önk.'!C68+'16. sz. mell. Önk.'!C68</f>
        <v>1050000000</v>
      </c>
      <c r="E68" s="1282">
        <f t="shared" si="0"/>
        <v>0</v>
      </c>
      <c r="F68" s="1285">
        <f t="shared" si="1"/>
        <v>0</v>
      </c>
    </row>
    <row r="69" spans="1:6" s="39" customFormat="1" ht="12" customHeight="1" thickBot="1" x14ac:dyDescent="0.25">
      <c r="A69" s="195" t="s">
        <v>280</v>
      </c>
      <c r="B69" s="183" t="s">
        <v>242</v>
      </c>
      <c r="C69" s="248"/>
      <c r="D69" s="1284">
        <f>'15. sz. mell. Önk.'!C69+'16. sz. mell. Önk.'!C69</f>
        <v>0</v>
      </c>
      <c r="E69" s="1283">
        <f t="shared" si="0"/>
        <v>0</v>
      </c>
      <c r="F69" s="1285">
        <f t="shared" si="1"/>
        <v>0</v>
      </c>
    </row>
    <row r="70" spans="1:6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  <c r="D70" s="1284">
        <f>'15. sz. mell. Önk.'!C70+'16. sz. mell. Önk.'!C70</f>
        <v>0</v>
      </c>
      <c r="E70" s="1284">
        <f t="shared" si="0"/>
        <v>0</v>
      </c>
      <c r="F70" s="1285">
        <f t="shared" si="1"/>
        <v>0</v>
      </c>
    </row>
    <row r="71" spans="1:6" s="39" customFormat="1" ht="12" customHeight="1" thickBot="1" x14ac:dyDescent="0.25">
      <c r="A71" s="193" t="s">
        <v>112</v>
      </c>
      <c r="B71" s="180" t="s">
        <v>245</v>
      </c>
      <c r="C71" s="248"/>
      <c r="D71" s="1284">
        <f>'15. sz. mell. Önk.'!C71+'16. sz. mell. Önk.'!C71</f>
        <v>0</v>
      </c>
      <c r="E71" s="1281">
        <f t="shared" si="0"/>
        <v>0</v>
      </c>
      <c r="F71" s="1285">
        <f t="shared" si="1"/>
        <v>0</v>
      </c>
    </row>
    <row r="72" spans="1:6" s="39" customFormat="1" ht="12" customHeight="1" thickBot="1" x14ac:dyDescent="0.25">
      <c r="A72" s="194" t="s">
        <v>113</v>
      </c>
      <c r="B72" s="181" t="s">
        <v>246</v>
      </c>
      <c r="C72" s="248"/>
      <c r="D72" s="1284">
        <f>'15. sz. mell. Önk.'!C72+'16. sz. mell. Önk.'!C72</f>
        <v>0</v>
      </c>
      <c r="E72" s="1282">
        <f t="shared" ref="E72:E90" si="2">C72-D72</f>
        <v>0</v>
      </c>
      <c r="F72" s="1285">
        <f t="shared" si="1"/>
        <v>0</v>
      </c>
    </row>
    <row r="73" spans="1:6" s="39" customFormat="1" ht="12" customHeight="1" thickBot="1" x14ac:dyDescent="0.25">
      <c r="A73" s="194" t="s">
        <v>271</v>
      </c>
      <c r="B73" s="181" t="s">
        <v>247</v>
      </c>
      <c r="C73" s="248"/>
      <c r="D73" s="1284">
        <f>'15. sz. mell. Önk.'!C73+'16. sz. mell. Önk.'!C73</f>
        <v>0</v>
      </c>
      <c r="E73" s="1282">
        <f t="shared" si="2"/>
        <v>0</v>
      </c>
      <c r="F73" s="1285">
        <f t="shared" ref="F73:F135" si="3">C73-D73</f>
        <v>0</v>
      </c>
    </row>
    <row r="74" spans="1:6" s="39" customFormat="1" ht="12" customHeight="1" thickBot="1" x14ac:dyDescent="0.25">
      <c r="A74" s="195" t="s">
        <v>272</v>
      </c>
      <c r="B74" s="182" t="s">
        <v>248</v>
      </c>
      <c r="C74" s="248"/>
      <c r="D74" s="1284">
        <f>'15. sz. mell. Önk.'!C74+'16. sz. mell. Önk.'!C74</f>
        <v>0</v>
      </c>
      <c r="E74" s="1283">
        <f t="shared" si="2"/>
        <v>0</v>
      </c>
      <c r="F74" s="1285">
        <f t="shared" si="3"/>
        <v>0</v>
      </c>
    </row>
    <row r="75" spans="1:6" s="39" customFormat="1" ht="12" customHeight="1" thickBot="1" x14ac:dyDescent="0.2">
      <c r="A75" s="196" t="s">
        <v>249</v>
      </c>
      <c r="B75" s="105" t="s">
        <v>250</v>
      </c>
      <c r="C75" s="257">
        <f>SUM(C76:C77)</f>
        <v>2381931880</v>
      </c>
      <c r="D75" s="1284">
        <f>'15. sz. mell. Önk.'!C75+'16. sz. mell. Önk.'!C75</f>
        <v>2381931880</v>
      </c>
      <c r="E75" s="1284">
        <f t="shared" si="2"/>
        <v>0</v>
      </c>
      <c r="F75" s="1285">
        <f t="shared" si="3"/>
        <v>0</v>
      </c>
    </row>
    <row r="76" spans="1:6" s="39" customFormat="1" ht="12" customHeight="1" thickBot="1" x14ac:dyDescent="0.25">
      <c r="A76" s="193" t="s">
        <v>273</v>
      </c>
      <c r="B76" s="180" t="s">
        <v>251</v>
      </c>
      <c r="C76" s="248">
        <v>2381931880</v>
      </c>
      <c r="D76" s="1284">
        <f>'15. sz. mell. Önk.'!C76+'16. sz. mell. Önk.'!C76</f>
        <v>2381931880</v>
      </c>
      <c r="E76" s="1281">
        <f t="shared" si="2"/>
        <v>0</v>
      </c>
      <c r="F76" s="1285">
        <f t="shared" si="3"/>
        <v>0</v>
      </c>
    </row>
    <row r="77" spans="1:6" s="39" customFormat="1" ht="12" customHeight="1" thickBot="1" x14ac:dyDescent="0.25">
      <c r="A77" s="195" t="s">
        <v>274</v>
      </c>
      <c r="B77" s="182" t="s">
        <v>252</v>
      </c>
      <c r="C77" s="248"/>
      <c r="D77" s="1284">
        <f>'15. sz. mell. Önk.'!C77+'16. sz. mell. Önk.'!C77</f>
        <v>0</v>
      </c>
      <c r="E77" s="1283">
        <f t="shared" si="2"/>
        <v>0</v>
      </c>
      <c r="F77" s="1285">
        <f t="shared" si="3"/>
        <v>0</v>
      </c>
    </row>
    <row r="78" spans="1:6" s="38" customFormat="1" ht="12" customHeight="1" thickBot="1" x14ac:dyDescent="0.2">
      <c r="A78" s="196" t="s">
        <v>253</v>
      </c>
      <c r="B78" s="105" t="s">
        <v>254</v>
      </c>
      <c r="C78" s="257">
        <f>SUM(C79:C81)</f>
        <v>61842606</v>
      </c>
      <c r="D78" s="1284">
        <f>'15. sz. mell. Önk.'!C78+'16. sz. mell. Önk.'!C78</f>
        <v>61842606</v>
      </c>
      <c r="E78" s="1284">
        <f t="shared" si="2"/>
        <v>0</v>
      </c>
      <c r="F78" s="1285">
        <f t="shared" si="3"/>
        <v>0</v>
      </c>
    </row>
    <row r="79" spans="1:6" s="39" customFormat="1" ht="12" customHeight="1" thickBot="1" x14ac:dyDescent="0.25">
      <c r="A79" s="193" t="s">
        <v>275</v>
      </c>
      <c r="B79" s="180" t="s">
        <v>255</v>
      </c>
      <c r="C79" s="1296">
        <f>55076107+6766499</f>
        <v>61842606</v>
      </c>
      <c r="D79" s="1284">
        <f>'15. sz. mell. Önk.'!C79+'16. sz. mell. Önk.'!C79</f>
        <v>61842606</v>
      </c>
      <c r="E79" s="1281">
        <f t="shared" si="2"/>
        <v>0</v>
      </c>
      <c r="F79" s="1285">
        <f t="shared" si="3"/>
        <v>0</v>
      </c>
    </row>
    <row r="80" spans="1:6" s="39" customFormat="1" ht="12" customHeight="1" thickBot="1" x14ac:dyDescent="0.25">
      <c r="A80" s="194" t="s">
        <v>276</v>
      </c>
      <c r="B80" s="181" t="s">
        <v>256</v>
      </c>
      <c r="C80" s="248"/>
      <c r="D80" s="1284">
        <f>'15. sz. mell. Önk.'!C80+'16. sz. mell. Önk.'!C80</f>
        <v>0</v>
      </c>
      <c r="E80" s="1282">
        <f t="shared" si="2"/>
        <v>0</v>
      </c>
      <c r="F80" s="1285">
        <f t="shared" si="3"/>
        <v>0</v>
      </c>
    </row>
    <row r="81" spans="1:6" s="39" customFormat="1" ht="12" customHeight="1" thickBot="1" x14ac:dyDescent="0.25">
      <c r="A81" s="195" t="s">
        <v>277</v>
      </c>
      <c r="B81" s="182" t="s">
        <v>257</v>
      </c>
      <c r="C81" s="248"/>
      <c r="D81" s="1284">
        <f>'15. sz. mell. Önk.'!C81+'16. sz. mell. Önk.'!C81</f>
        <v>0</v>
      </c>
      <c r="E81" s="1283">
        <f t="shared" si="2"/>
        <v>0</v>
      </c>
      <c r="F81" s="1285">
        <f t="shared" si="3"/>
        <v>0</v>
      </c>
    </row>
    <row r="82" spans="1:6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  <c r="D82" s="1284">
        <f>'15. sz. mell. Önk.'!C82+'16. sz. mell. Önk.'!C82</f>
        <v>0</v>
      </c>
      <c r="E82" s="1284">
        <f t="shared" si="2"/>
        <v>0</v>
      </c>
      <c r="F82" s="1285">
        <f t="shared" si="3"/>
        <v>0</v>
      </c>
    </row>
    <row r="83" spans="1:6" s="39" customFormat="1" ht="12" customHeight="1" thickBot="1" x14ac:dyDescent="0.25">
      <c r="A83" s="197" t="s">
        <v>259</v>
      </c>
      <c r="B83" s="180" t="s">
        <v>260</v>
      </c>
      <c r="C83" s="248"/>
      <c r="D83" s="1284">
        <f>'15. sz. mell. Önk.'!C83+'16. sz. mell. Önk.'!C83</f>
        <v>0</v>
      </c>
      <c r="E83" s="1281">
        <f t="shared" si="2"/>
        <v>0</v>
      </c>
      <c r="F83" s="1285">
        <f t="shared" si="3"/>
        <v>0</v>
      </c>
    </row>
    <row r="84" spans="1:6" s="39" customFormat="1" ht="12" customHeight="1" thickBot="1" x14ac:dyDescent="0.25">
      <c r="A84" s="198" t="s">
        <v>261</v>
      </c>
      <c r="B84" s="181" t="s">
        <v>262</v>
      </c>
      <c r="C84" s="248"/>
      <c r="D84" s="1284">
        <f>'15. sz. mell. Önk.'!C84+'16. sz. mell. Önk.'!C84</f>
        <v>0</v>
      </c>
      <c r="E84" s="1282">
        <f t="shared" si="2"/>
        <v>0</v>
      </c>
      <c r="F84" s="1285">
        <f t="shared" si="3"/>
        <v>0</v>
      </c>
    </row>
    <row r="85" spans="1:6" s="39" customFormat="1" ht="12" customHeight="1" thickBot="1" x14ac:dyDescent="0.25">
      <c r="A85" s="198" t="s">
        <v>263</v>
      </c>
      <c r="B85" s="181" t="s">
        <v>264</v>
      </c>
      <c r="C85" s="248"/>
      <c r="D85" s="1284">
        <f>'15. sz. mell. Önk.'!C85+'16. sz. mell. Önk.'!C85</f>
        <v>0</v>
      </c>
      <c r="E85" s="1282">
        <f t="shared" si="2"/>
        <v>0</v>
      </c>
      <c r="F85" s="1285">
        <f t="shared" si="3"/>
        <v>0</v>
      </c>
    </row>
    <row r="86" spans="1:6" s="38" customFormat="1" ht="12" customHeight="1" thickBot="1" x14ac:dyDescent="0.25">
      <c r="A86" s="199" t="s">
        <v>265</v>
      </c>
      <c r="B86" s="182" t="s">
        <v>266</v>
      </c>
      <c r="C86" s="248"/>
      <c r="D86" s="1284">
        <f>'15. sz. mell. Önk.'!C86+'16. sz. mell. Önk.'!C86</f>
        <v>0</v>
      </c>
      <c r="E86" s="1283">
        <f t="shared" si="2"/>
        <v>0</v>
      </c>
      <c r="F86" s="1285">
        <f t="shared" si="3"/>
        <v>0</v>
      </c>
    </row>
    <row r="87" spans="1:6" s="38" customFormat="1" ht="12" customHeight="1" thickBot="1" x14ac:dyDescent="0.2">
      <c r="A87" s="196" t="s">
        <v>267</v>
      </c>
      <c r="B87" s="105" t="s">
        <v>395</v>
      </c>
      <c r="C87" s="260"/>
      <c r="D87" s="1284">
        <f>'15. sz. mell. Önk.'!C87+'16. sz. mell. Önk.'!C87</f>
        <v>0</v>
      </c>
      <c r="E87" s="1284">
        <f t="shared" si="2"/>
        <v>0</v>
      </c>
      <c r="F87" s="1285">
        <f t="shared" si="3"/>
        <v>0</v>
      </c>
    </row>
    <row r="88" spans="1:6" s="38" customFormat="1" ht="12" customHeight="1" thickBot="1" x14ac:dyDescent="0.2">
      <c r="A88" s="196" t="s">
        <v>447</v>
      </c>
      <c r="B88" s="105" t="s">
        <v>268</v>
      </c>
      <c r="C88" s="260"/>
      <c r="D88" s="1284">
        <f>'15. sz. mell. Önk.'!C88+'16. sz. mell. Önk.'!C88</f>
        <v>0</v>
      </c>
      <c r="E88" s="1284">
        <f t="shared" si="2"/>
        <v>0</v>
      </c>
      <c r="F88" s="1285">
        <f t="shared" si="3"/>
        <v>0</v>
      </c>
    </row>
    <row r="89" spans="1:6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3661507736</v>
      </c>
      <c r="D89" s="1284">
        <f>'15. sz. mell. Önk.'!C89+'16. sz. mell. Önk.'!C89</f>
        <v>3661507736</v>
      </c>
      <c r="E89" s="1284">
        <f t="shared" si="2"/>
        <v>0</v>
      </c>
      <c r="F89" s="1285">
        <f t="shared" si="3"/>
        <v>0</v>
      </c>
    </row>
    <row r="90" spans="1:6" s="38" customFormat="1" ht="12" customHeight="1" thickBot="1" x14ac:dyDescent="0.2">
      <c r="A90" s="200" t="s">
        <v>449</v>
      </c>
      <c r="B90" s="188" t="s">
        <v>450</v>
      </c>
      <c r="C90" s="259">
        <f>+C65+C89</f>
        <v>7715362013</v>
      </c>
      <c r="D90" s="1284">
        <f>'15. sz. mell. Önk.'!C90+'16. sz. mell. Önk.'!C90</f>
        <v>7715362013</v>
      </c>
      <c r="E90" s="1284">
        <f t="shared" si="2"/>
        <v>0</v>
      </c>
      <c r="F90" s="1285">
        <f t="shared" si="3"/>
        <v>0</v>
      </c>
    </row>
    <row r="91" spans="1:6" s="32" customFormat="1" ht="16.5" customHeight="1" thickBot="1" x14ac:dyDescent="0.25">
      <c r="A91" s="1380" t="s">
        <v>53</v>
      </c>
      <c r="B91" s="1381"/>
      <c r="C91" s="1382"/>
      <c r="D91" s="1284">
        <f>'15. sz. mell. Önk.'!C91+'16. sz. mell. Önk.'!C91</f>
        <v>0</v>
      </c>
      <c r="E91" s="1280"/>
      <c r="F91" s="1285">
        <f t="shared" si="3"/>
        <v>0</v>
      </c>
    </row>
    <row r="92" spans="1:6" s="213" customFormat="1" ht="12" customHeight="1" thickBot="1" x14ac:dyDescent="0.25">
      <c r="A92" s="173" t="s">
        <v>16</v>
      </c>
      <c r="B92" s="23" t="s">
        <v>460</v>
      </c>
      <c r="C92" s="263">
        <f>+C93+C94+C95+C96+C97+C110</f>
        <v>1140322160</v>
      </c>
      <c r="D92" s="1284">
        <f>'15. sz. mell. Önk.'!C92+'16. sz. mell. Önk.'!C92</f>
        <v>1140322160</v>
      </c>
      <c r="E92" s="1284">
        <f t="shared" ref="E92:E154" si="4">C92-D92</f>
        <v>0</v>
      </c>
      <c r="F92" s="1285">
        <f t="shared" si="3"/>
        <v>0</v>
      </c>
    </row>
    <row r="93" spans="1:6" ht="12" customHeight="1" thickBot="1" x14ac:dyDescent="0.25">
      <c r="A93" s="201" t="s">
        <v>85</v>
      </c>
      <c r="B93" s="7" t="s">
        <v>46</v>
      </c>
      <c r="C93" s="1298">
        <f>58106090+15752-100399+180670-22379+33824641+1158699-1267580-5785000</f>
        <v>86110494</v>
      </c>
      <c r="D93" s="1284">
        <f>'15. sz. mell. Önk.'!C93+'16. sz. mell. Önk.'!C93</f>
        <v>86110494</v>
      </c>
      <c r="E93" s="1281">
        <f t="shared" si="4"/>
        <v>0</v>
      </c>
      <c r="F93" s="1285">
        <f t="shared" si="3"/>
        <v>0</v>
      </c>
    </row>
    <row r="94" spans="1:6" ht="12" customHeight="1" thickBot="1" x14ac:dyDescent="0.25">
      <c r="A94" s="194" t="s">
        <v>86</v>
      </c>
      <c r="B94" s="5" t="s">
        <v>134</v>
      </c>
      <c r="C94" s="1296">
        <f>9537920-40892+44041+22379+3952321+172631-260842-1074000</f>
        <v>12353558</v>
      </c>
      <c r="D94" s="1284">
        <f>'15. sz. mell. Önk.'!C94+'16. sz. mell. Önk.'!C94</f>
        <v>12353558</v>
      </c>
      <c r="E94" s="1282">
        <f t="shared" si="4"/>
        <v>0</v>
      </c>
      <c r="F94" s="1285">
        <f t="shared" si="3"/>
        <v>0</v>
      </c>
    </row>
    <row r="95" spans="1:6" ht="12" customHeight="1" thickBot="1" x14ac:dyDescent="0.25">
      <c r="A95" s="194" t="s">
        <v>87</v>
      </c>
      <c r="B95" s="5" t="s">
        <v>110</v>
      </c>
      <c r="C95" s="1141">
        <f>380566666+6810425+200566320-160000+5041097+5106449+4628988+57115687+44090+46038606+10644431+15779091-35138080</f>
        <v>697043770</v>
      </c>
      <c r="D95" s="1284">
        <f>'15. sz. mell. Önk.'!C95+'16. sz. mell. Önk.'!C95</f>
        <v>697043770</v>
      </c>
      <c r="E95" s="1282">
        <f t="shared" si="4"/>
        <v>0</v>
      </c>
      <c r="F95" s="1285">
        <f t="shared" si="3"/>
        <v>0</v>
      </c>
    </row>
    <row r="96" spans="1:6" ht="12" customHeight="1" thickBot="1" x14ac:dyDescent="0.25">
      <c r="A96" s="194" t="s">
        <v>88</v>
      </c>
      <c r="B96" s="8" t="s">
        <v>135</v>
      </c>
      <c r="C96" s="1141">
        <f>43800000+1250000-7000000</f>
        <v>38050000</v>
      </c>
      <c r="D96" s="1284">
        <f>'15. sz. mell. Önk.'!C96+'16. sz. mell. Önk.'!C96</f>
        <v>38050000</v>
      </c>
      <c r="E96" s="1282">
        <f t="shared" si="4"/>
        <v>0</v>
      </c>
      <c r="F96" s="1285">
        <f t="shared" si="3"/>
        <v>0</v>
      </c>
    </row>
    <row r="97" spans="1:6" ht="12" customHeight="1" thickBot="1" x14ac:dyDescent="0.25">
      <c r="A97" s="194" t="s">
        <v>99</v>
      </c>
      <c r="B97" s="16" t="s">
        <v>136</v>
      </c>
      <c r="C97" s="1141">
        <f>SUM(C98:C109)</f>
        <v>201442537</v>
      </c>
      <c r="D97" s="1284">
        <f>'15. sz. mell. Önk.'!C97+'16. sz. mell. Önk.'!C97</f>
        <v>201442537</v>
      </c>
      <c r="E97" s="1282">
        <f t="shared" si="4"/>
        <v>0</v>
      </c>
      <c r="F97" s="1285">
        <f>C97-D97</f>
        <v>0</v>
      </c>
    </row>
    <row r="98" spans="1:6" ht="12" customHeight="1" thickBot="1" x14ac:dyDescent="0.25">
      <c r="A98" s="194" t="s">
        <v>89</v>
      </c>
      <c r="B98" s="5" t="s">
        <v>451</v>
      </c>
      <c r="C98" s="1141">
        <f>4353344+973615-973615+776608+807034</f>
        <v>5936986</v>
      </c>
      <c r="D98" s="1284">
        <f>'15. sz. mell. Önk.'!C98+'16. sz. mell. Önk.'!C98</f>
        <v>5936986</v>
      </c>
      <c r="E98" s="1282">
        <f t="shared" si="4"/>
        <v>0</v>
      </c>
      <c r="F98" s="1285">
        <f t="shared" si="3"/>
        <v>0</v>
      </c>
    </row>
    <row r="99" spans="1:6" ht="12" customHeight="1" thickBot="1" x14ac:dyDescent="0.25">
      <c r="A99" s="194" t="s">
        <v>90</v>
      </c>
      <c r="B99" s="58" t="s">
        <v>400</v>
      </c>
      <c r="C99" s="251">
        <v>5091319</v>
      </c>
      <c r="D99" s="1284">
        <f>'15. sz. mell. Önk.'!C99+'16. sz. mell. Önk.'!C99</f>
        <v>5091319</v>
      </c>
      <c r="E99" s="1282">
        <f t="shared" si="4"/>
        <v>0</v>
      </c>
      <c r="F99" s="1285">
        <f t="shared" si="3"/>
        <v>0</v>
      </c>
    </row>
    <row r="100" spans="1:6" ht="12" customHeight="1" thickBot="1" x14ac:dyDescent="0.25">
      <c r="A100" s="194" t="s">
        <v>100</v>
      </c>
      <c r="B100" s="58" t="s">
        <v>401</v>
      </c>
      <c r="C100" s="251"/>
      <c r="D100" s="1284">
        <f>'15. sz. mell. Önk.'!C100+'16. sz. mell. Önk.'!C100</f>
        <v>0</v>
      </c>
      <c r="E100" s="1282">
        <f t="shared" si="4"/>
        <v>0</v>
      </c>
      <c r="F100" s="1285">
        <f t="shared" si="3"/>
        <v>0</v>
      </c>
    </row>
    <row r="101" spans="1:6" ht="12" customHeight="1" thickBot="1" x14ac:dyDescent="0.25">
      <c r="A101" s="194" t="s">
        <v>101</v>
      </c>
      <c r="B101" s="58" t="s">
        <v>284</v>
      </c>
      <c r="C101" s="251"/>
      <c r="D101" s="1284">
        <f>'15. sz. mell. Önk.'!C101+'16. sz. mell. Önk.'!C101</f>
        <v>0</v>
      </c>
      <c r="E101" s="1282">
        <f t="shared" si="4"/>
        <v>0</v>
      </c>
      <c r="F101" s="1285">
        <f t="shared" si="3"/>
        <v>0</v>
      </c>
    </row>
    <row r="102" spans="1:6" ht="12" customHeight="1" thickBot="1" x14ac:dyDescent="0.25">
      <c r="A102" s="194" t="s">
        <v>102</v>
      </c>
      <c r="B102" s="59" t="s">
        <v>285</v>
      </c>
      <c r="C102" s="251"/>
      <c r="D102" s="1284">
        <f>'15. sz. mell. Önk.'!C102+'16. sz. mell. Önk.'!C102</f>
        <v>0</v>
      </c>
      <c r="E102" s="1282">
        <f t="shared" si="4"/>
        <v>0</v>
      </c>
      <c r="F102" s="1285">
        <f t="shared" si="3"/>
        <v>0</v>
      </c>
    </row>
    <row r="103" spans="1:6" ht="12" customHeight="1" thickBot="1" x14ac:dyDescent="0.25">
      <c r="A103" s="194" t="s">
        <v>103</v>
      </c>
      <c r="B103" s="59" t="s">
        <v>286</v>
      </c>
      <c r="C103" s="251"/>
      <c r="D103" s="1284">
        <f>'15. sz. mell. Önk.'!C103+'16. sz. mell. Önk.'!C103</f>
        <v>0</v>
      </c>
      <c r="E103" s="1282">
        <f t="shared" si="4"/>
        <v>0</v>
      </c>
      <c r="F103" s="1285">
        <f t="shared" si="3"/>
        <v>0</v>
      </c>
    </row>
    <row r="104" spans="1:6" ht="12" customHeight="1" thickBot="1" x14ac:dyDescent="0.25">
      <c r="A104" s="194" t="s">
        <v>105</v>
      </c>
      <c r="B104" s="58" t="s">
        <v>287</v>
      </c>
      <c r="C104" s="251">
        <f>636000+175125</f>
        <v>811125</v>
      </c>
      <c r="D104" s="1284">
        <f>'15. sz. mell. Önk.'!C104+'16. sz. mell. Önk.'!C104</f>
        <v>811125</v>
      </c>
      <c r="E104" s="1282">
        <f t="shared" si="4"/>
        <v>0</v>
      </c>
      <c r="F104" s="1285">
        <f t="shared" si="3"/>
        <v>0</v>
      </c>
    </row>
    <row r="105" spans="1:6" ht="12" customHeight="1" thickBot="1" x14ac:dyDescent="0.25">
      <c r="A105" s="194" t="s">
        <v>137</v>
      </c>
      <c r="B105" s="58" t="s">
        <v>288</v>
      </c>
      <c r="C105" s="251"/>
      <c r="D105" s="1284">
        <f>'15. sz. mell. Önk.'!C105+'16. sz. mell. Önk.'!C105</f>
        <v>0</v>
      </c>
      <c r="E105" s="1282">
        <f t="shared" si="4"/>
        <v>0</v>
      </c>
      <c r="F105" s="1285">
        <f t="shared" si="3"/>
        <v>0</v>
      </c>
    </row>
    <row r="106" spans="1:6" ht="12" customHeight="1" thickBot="1" x14ac:dyDescent="0.25">
      <c r="A106" s="194" t="s">
        <v>282</v>
      </c>
      <c r="B106" s="59" t="s">
        <v>289</v>
      </c>
      <c r="C106" s="251"/>
      <c r="D106" s="1284">
        <f>'15. sz. mell. Önk.'!C106+'16. sz. mell. Önk.'!C106</f>
        <v>0</v>
      </c>
      <c r="E106" s="1282">
        <f t="shared" si="4"/>
        <v>0</v>
      </c>
      <c r="F106" s="1285">
        <f t="shared" si="3"/>
        <v>0</v>
      </c>
    </row>
    <row r="107" spans="1:6" ht="12" customHeight="1" thickBot="1" x14ac:dyDescent="0.25">
      <c r="A107" s="202" t="s">
        <v>283</v>
      </c>
      <c r="B107" s="60" t="s">
        <v>290</v>
      </c>
      <c r="C107" s="251"/>
      <c r="D107" s="1284">
        <f>'15. sz. mell. Önk.'!C107+'16. sz. mell. Önk.'!C107</f>
        <v>0</v>
      </c>
      <c r="E107" s="1282">
        <f t="shared" si="4"/>
        <v>0</v>
      </c>
      <c r="F107" s="1285">
        <f t="shared" si="3"/>
        <v>0</v>
      </c>
    </row>
    <row r="108" spans="1:6" ht="12" customHeight="1" thickBot="1" x14ac:dyDescent="0.25">
      <c r="A108" s="194" t="s">
        <v>402</v>
      </c>
      <c r="B108" s="60" t="s">
        <v>291</v>
      </c>
      <c r="C108" s="251"/>
      <c r="D108" s="1284">
        <f>'15. sz. mell. Önk.'!C108+'16. sz. mell. Önk.'!C108</f>
        <v>0</v>
      </c>
      <c r="E108" s="1282">
        <f t="shared" si="4"/>
        <v>0</v>
      </c>
      <c r="F108" s="1285">
        <f t="shared" si="3"/>
        <v>0</v>
      </c>
    </row>
    <row r="109" spans="1:6" ht="12" customHeight="1" thickBot="1" x14ac:dyDescent="0.25">
      <c r="A109" s="194" t="s">
        <v>403</v>
      </c>
      <c r="B109" s="59" t="s">
        <v>292</v>
      </c>
      <c r="C109" s="1296">
        <f>190604229+234570-150000+1671802-107232-4071620+1421358</f>
        <v>189603107</v>
      </c>
      <c r="D109" s="1284">
        <f>'15. sz. mell. Önk.'!C109+'16. sz. mell. Önk.'!C109</f>
        <v>189603107</v>
      </c>
      <c r="E109" s="1282">
        <f t="shared" si="4"/>
        <v>0</v>
      </c>
      <c r="F109" s="1285">
        <f t="shared" si="3"/>
        <v>0</v>
      </c>
    </row>
    <row r="110" spans="1:6" ht="12" customHeight="1" thickBot="1" x14ac:dyDescent="0.25">
      <c r="A110" s="194" t="s">
        <v>404</v>
      </c>
      <c r="B110" s="8" t="s">
        <v>47</v>
      </c>
      <c r="C110" s="1296">
        <f>SUM(C111:C112)</f>
        <v>105321801</v>
      </c>
      <c r="D110" s="1284">
        <f>'15. sz. mell. Önk.'!C110+'16. sz. mell. Önk.'!C110</f>
        <v>105321801</v>
      </c>
      <c r="E110" s="1282">
        <f t="shared" si="4"/>
        <v>0</v>
      </c>
      <c r="F110" s="1285">
        <f t="shared" si="3"/>
        <v>0</v>
      </c>
    </row>
    <row r="111" spans="1:6" ht="12" customHeight="1" thickBot="1" x14ac:dyDescent="0.25">
      <c r="A111" s="195" t="s">
        <v>405</v>
      </c>
      <c r="B111" s="5" t="s">
        <v>452</v>
      </c>
      <c r="C111" s="1141">
        <f>10000000+2761613+2341692-1769228+5286934+3399263-4655454+23132920-39578708</f>
        <v>919032</v>
      </c>
      <c r="D111" s="1284">
        <f>'15. sz. mell. Önk.'!C111+'16. sz. mell. Önk.'!C111</f>
        <v>919032</v>
      </c>
      <c r="E111" s="1282">
        <f t="shared" si="4"/>
        <v>0</v>
      </c>
      <c r="F111" s="1285">
        <f t="shared" si="3"/>
        <v>0</v>
      </c>
    </row>
    <row r="112" spans="1:6" ht="12" customHeight="1" thickBot="1" x14ac:dyDescent="0.25">
      <c r="A112" s="203" t="s">
        <v>407</v>
      </c>
      <c r="B112" s="61" t="s">
        <v>453</v>
      </c>
      <c r="C112" s="1299">
        <f>120420513-108134-3989610-1920000-10000000</f>
        <v>104402769</v>
      </c>
      <c r="D112" s="1284">
        <f>'15. sz. mell. Önk.'!C112+'16. sz. mell. Önk.'!C112</f>
        <v>104402769</v>
      </c>
      <c r="E112" s="1283">
        <f t="shared" si="4"/>
        <v>0</v>
      </c>
      <c r="F112" s="1285">
        <f t="shared" si="3"/>
        <v>0</v>
      </c>
    </row>
    <row r="113" spans="1:6" ht="12" customHeight="1" thickBot="1" x14ac:dyDescent="0.25">
      <c r="A113" s="25" t="s">
        <v>17</v>
      </c>
      <c r="B113" s="22" t="s">
        <v>293</v>
      </c>
      <c r="C113" s="257">
        <f>+C114+C116+C118</f>
        <v>3560956285</v>
      </c>
      <c r="D113" s="1284">
        <f>'15. sz. mell. Önk.'!C113+'16. sz. mell. Önk.'!C113</f>
        <v>3560956285</v>
      </c>
      <c r="E113" s="1284">
        <f t="shared" si="4"/>
        <v>0</v>
      </c>
      <c r="F113" s="1285">
        <f t="shared" si="3"/>
        <v>0</v>
      </c>
    </row>
    <row r="114" spans="1:6" ht="12" customHeight="1" thickBot="1" x14ac:dyDescent="0.25">
      <c r="A114" s="193" t="s">
        <v>91</v>
      </c>
      <c r="B114" s="5" t="s">
        <v>157</v>
      </c>
      <c r="C114" s="1300">
        <f>700117222-30445-757432+14764078+141518863+76516590+2667000-20000000+26419012+4071620-3566000</f>
        <v>941720508</v>
      </c>
      <c r="D114" s="1284">
        <f>'15. sz. mell. Önk.'!C114+'16. sz. mell. Önk.'!C114</f>
        <v>941720508</v>
      </c>
      <c r="E114" s="1281">
        <f t="shared" si="4"/>
        <v>0</v>
      </c>
      <c r="F114" s="1285">
        <f t="shared" si="3"/>
        <v>0</v>
      </c>
    </row>
    <row r="115" spans="1:6" ht="12" customHeight="1" thickBot="1" x14ac:dyDescent="0.25">
      <c r="A115" s="193" t="s">
        <v>92</v>
      </c>
      <c r="B115" s="9" t="s">
        <v>297</v>
      </c>
      <c r="C115" s="677">
        <f>224124925+137436248+76216590+4071620</f>
        <v>441849383</v>
      </c>
      <c r="D115" s="1284">
        <f>'15. sz. mell. Önk.'!C115+'16. sz. mell. Önk.'!C115</f>
        <v>441849383</v>
      </c>
      <c r="E115" s="1282">
        <f t="shared" si="4"/>
        <v>0</v>
      </c>
      <c r="F115" s="1285">
        <f t="shared" si="3"/>
        <v>0</v>
      </c>
    </row>
    <row r="116" spans="1:6" ht="12" customHeight="1" thickBot="1" x14ac:dyDescent="0.25">
      <c r="A116" s="193" t="s">
        <v>93</v>
      </c>
      <c r="B116" s="9" t="s">
        <v>138</v>
      </c>
      <c r="C116" s="1296">
        <f>1934218597-8470273+588237-19331097+607385-44090+696799240-25113756+42627291-6350000</f>
        <v>2615531534</v>
      </c>
      <c r="D116" s="1284">
        <f>'15. sz. mell. Önk.'!C116+'16. sz. mell. Önk.'!C116</f>
        <v>2615531534</v>
      </c>
      <c r="E116" s="1282">
        <f t="shared" si="4"/>
        <v>0</v>
      </c>
      <c r="F116" s="1285">
        <f t="shared" si="3"/>
        <v>0</v>
      </c>
    </row>
    <row r="117" spans="1:6" ht="12" customHeight="1" thickBot="1" x14ac:dyDescent="0.25">
      <c r="A117" s="193" t="s">
        <v>94</v>
      </c>
      <c r="B117" s="9" t="s">
        <v>298</v>
      </c>
      <c r="C117" s="248">
        <f>399460471+703784240+76736922</f>
        <v>1179981633</v>
      </c>
      <c r="D117" s="1284">
        <f>'15. sz. mell. Önk.'!C117+'16. sz. mell. Önk.'!C117</f>
        <v>1179981633</v>
      </c>
      <c r="E117" s="1282">
        <f t="shared" si="4"/>
        <v>0</v>
      </c>
      <c r="F117" s="1285">
        <f t="shared" si="3"/>
        <v>0</v>
      </c>
    </row>
    <row r="118" spans="1:6" ht="12" customHeight="1" thickBot="1" x14ac:dyDescent="0.25">
      <c r="A118" s="193" t="s">
        <v>95</v>
      </c>
      <c r="B118" s="107" t="s">
        <v>159</v>
      </c>
      <c r="C118" s="248">
        <f>SUM(C119:C126)</f>
        <v>3704243</v>
      </c>
      <c r="D118" s="1284">
        <f>'15. sz. mell. Önk.'!C118+'16. sz. mell. Önk.'!C118</f>
        <v>3704243</v>
      </c>
      <c r="E118" s="1282">
        <f t="shared" si="4"/>
        <v>0</v>
      </c>
      <c r="F118" s="1285">
        <f t="shared" si="3"/>
        <v>0</v>
      </c>
    </row>
    <row r="119" spans="1:6" ht="12" customHeight="1" thickBot="1" x14ac:dyDescent="0.25">
      <c r="A119" s="193" t="s">
        <v>104</v>
      </c>
      <c r="B119" s="106" t="s">
        <v>358</v>
      </c>
      <c r="C119" s="248"/>
      <c r="D119" s="1284">
        <f>'15. sz. mell. Önk.'!C119+'16. sz. mell. Önk.'!C119</f>
        <v>0</v>
      </c>
      <c r="E119" s="1282">
        <f t="shared" si="4"/>
        <v>0</v>
      </c>
      <c r="F119" s="1285">
        <f t="shared" si="3"/>
        <v>0</v>
      </c>
    </row>
    <row r="120" spans="1:6" ht="12" customHeight="1" thickBot="1" x14ac:dyDescent="0.25">
      <c r="A120" s="193" t="s">
        <v>106</v>
      </c>
      <c r="B120" s="177" t="s">
        <v>303</v>
      </c>
      <c r="C120" s="248"/>
      <c r="D120" s="1284">
        <f>'15. sz. mell. Önk.'!C120+'16. sz. mell. Önk.'!C120</f>
        <v>0</v>
      </c>
      <c r="E120" s="1282">
        <f t="shared" si="4"/>
        <v>0</v>
      </c>
      <c r="F120" s="1285">
        <f t="shared" si="3"/>
        <v>0</v>
      </c>
    </row>
    <row r="121" spans="1:6" ht="12" customHeight="1" thickBot="1" x14ac:dyDescent="0.25">
      <c r="A121" s="193" t="s">
        <v>139</v>
      </c>
      <c r="B121" s="59" t="s">
        <v>286</v>
      </c>
      <c r="C121" s="248"/>
      <c r="D121" s="1284">
        <f>'15. sz. mell. Önk.'!C121+'16. sz. mell. Önk.'!C121</f>
        <v>0</v>
      </c>
      <c r="E121" s="1282">
        <f t="shared" si="4"/>
        <v>0</v>
      </c>
      <c r="F121" s="1285">
        <f t="shared" si="3"/>
        <v>0</v>
      </c>
    </row>
    <row r="122" spans="1:6" ht="12" customHeight="1" thickBot="1" x14ac:dyDescent="0.25">
      <c r="A122" s="193" t="s">
        <v>140</v>
      </c>
      <c r="B122" s="59" t="s">
        <v>302</v>
      </c>
      <c r="C122" s="248">
        <f>798660+457259</f>
        <v>1255919</v>
      </c>
      <c r="D122" s="1284">
        <f>'15. sz. mell. Önk.'!C122+'16. sz. mell. Önk.'!C122</f>
        <v>1255919</v>
      </c>
      <c r="E122" s="1282">
        <f t="shared" si="4"/>
        <v>0</v>
      </c>
      <c r="F122" s="1285">
        <f t="shared" si="3"/>
        <v>0</v>
      </c>
    </row>
    <row r="123" spans="1:6" ht="12" customHeight="1" thickBot="1" x14ac:dyDescent="0.25">
      <c r="A123" s="193" t="s">
        <v>141</v>
      </c>
      <c r="B123" s="59" t="s">
        <v>301</v>
      </c>
      <c r="C123" s="248"/>
      <c r="D123" s="1284">
        <f>'15. sz. mell. Önk.'!C123+'16. sz. mell. Önk.'!C123</f>
        <v>0</v>
      </c>
      <c r="E123" s="1282">
        <f t="shared" si="4"/>
        <v>0</v>
      </c>
      <c r="F123" s="1285">
        <f t="shared" si="3"/>
        <v>0</v>
      </c>
    </row>
    <row r="124" spans="1:6" ht="12" customHeight="1" thickBot="1" x14ac:dyDescent="0.25">
      <c r="A124" s="193" t="s">
        <v>294</v>
      </c>
      <c r="B124" s="59" t="s">
        <v>289</v>
      </c>
      <c r="C124" s="248"/>
      <c r="D124" s="1284">
        <f>'15. sz. mell. Önk.'!C124+'16. sz. mell. Önk.'!C124</f>
        <v>0</v>
      </c>
      <c r="E124" s="1282">
        <f t="shared" si="4"/>
        <v>0</v>
      </c>
      <c r="F124" s="1285">
        <f t="shared" si="3"/>
        <v>0</v>
      </c>
    </row>
    <row r="125" spans="1:6" ht="12" customHeight="1" thickBot="1" x14ac:dyDescent="0.25">
      <c r="A125" s="193" t="s">
        <v>295</v>
      </c>
      <c r="B125" s="59" t="s">
        <v>300</v>
      </c>
      <c r="C125" s="248"/>
      <c r="D125" s="1284">
        <f>'15. sz. mell. Önk.'!C125+'16. sz. mell. Önk.'!C125</f>
        <v>0</v>
      </c>
      <c r="E125" s="1282">
        <f t="shared" si="4"/>
        <v>0</v>
      </c>
      <c r="F125" s="1285">
        <f t="shared" si="3"/>
        <v>0</v>
      </c>
    </row>
    <row r="126" spans="1:6" ht="12" customHeight="1" thickBot="1" x14ac:dyDescent="0.25">
      <c r="A126" s="202" t="s">
        <v>296</v>
      </c>
      <c r="B126" s="59" t="s">
        <v>299</v>
      </c>
      <c r="C126" s="251">
        <f>1423277+150000+767815+107232</f>
        <v>2448324</v>
      </c>
      <c r="D126" s="1284">
        <f>'15. sz. mell. Önk.'!C126+'16. sz. mell. Önk.'!C126</f>
        <v>2448324</v>
      </c>
      <c r="E126" s="1283">
        <f t="shared" si="4"/>
        <v>0</v>
      </c>
      <c r="F126" s="1285">
        <f t="shared" si="3"/>
        <v>0</v>
      </c>
    </row>
    <row r="127" spans="1:6" ht="12" customHeight="1" thickBot="1" x14ac:dyDescent="0.25">
      <c r="A127" s="25" t="s">
        <v>18</v>
      </c>
      <c r="B127" s="54" t="s">
        <v>409</v>
      </c>
      <c r="C127" s="257">
        <f>+C92+C113</f>
        <v>4701278445</v>
      </c>
      <c r="D127" s="1284">
        <f>'15. sz. mell. Önk.'!C127+'16. sz. mell. Önk.'!C127</f>
        <v>4701278445</v>
      </c>
      <c r="E127" s="1284">
        <f t="shared" si="4"/>
        <v>0</v>
      </c>
      <c r="F127" s="1285">
        <f t="shared" si="3"/>
        <v>0</v>
      </c>
    </row>
    <row r="128" spans="1:6" ht="12" customHeight="1" thickBot="1" x14ac:dyDescent="0.25">
      <c r="A128" s="25" t="s">
        <v>19</v>
      </c>
      <c r="B128" s="54" t="s">
        <v>410</v>
      </c>
      <c r="C128" s="257">
        <f>+C129+C130+C131</f>
        <v>1072728296</v>
      </c>
      <c r="D128" s="1284">
        <f>'15. sz. mell. Önk.'!C128+'16. sz. mell. Önk.'!C128</f>
        <v>1072728296</v>
      </c>
      <c r="E128" s="1284">
        <f t="shared" si="4"/>
        <v>0</v>
      </c>
      <c r="F128" s="1285">
        <f t="shared" si="3"/>
        <v>0</v>
      </c>
    </row>
    <row r="129" spans="1:7" s="213" customFormat="1" ht="12" customHeight="1" thickBot="1" x14ac:dyDescent="0.25">
      <c r="A129" s="193" t="s">
        <v>195</v>
      </c>
      <c r="B129" s="6" t="s">
        <v>454</v>
      </c>
      <c r="C129" s="248">
        <v>22728296</v>
      </c>
      <c r="D129" s="1284">
        <f>'15. sz. mell. Önk.'!C129+'16. sz. mell. Önk.'!C129</f>
        <v>22728296</v>
      </c>
      <c r="E129" s="1281">
        <f t="shared" si="4"/>
        <v>0</v>
      </c>
      <c r="F129" s="1285">
        <f t="shared" si="3"/>
        <v>0</v>
      </c>
    </row>
    <row r="130" spans="1:7" ht="12" customHeight="1" thickBot="1" x14ac:dyDescent="0.25">
      <c r="A130" s="193" t="s">
        <v>198</v>
      </c>
      <c r="B130" s="6" t="s">
        <v>412</v>
      </c>
      <c r="C130" s="248">
        <f>1000000000+50000000</f>
        <v>1050000000</v>
      </c>
      <c r="D130" s="1284">
        <f>'15. sz. mell. Önk.'!C130+'16. sz. mell. Önk.'!C130</f>
        <v>1050000000</v>
      </c>
      <c r="E130" s="1282">
        <f t="shared" si="4"/>
        <v>0</v>
      </c>
      <c r="F130" s="1285">
        <f t="shared" si="3"/>
        <v>0</v>
      </c>
    </row>
    <row r="131" spans="1:7" ht="12" customHeight="1" thickBot="1" x14ac:dyDescent="0.25">
      <c r="A131" s="202" t="s">
        <v>199</v>
      </c>
      <c r="B131" s="4" t="s">
        <v>455</v>
      </c>
      <c r="C131" s="99"/>
      <c r="D131" s="1284">
        <f>'15. sz. mell. Önk.'!C131+'16. sz. mell. Önk.'!C131</f>
        <v>0</v>
      </c>
      <c r="E131" s="1283">
        <f t="shared" si="4"/>
        <v>0</v>
      </c>
      <c r="F131" s="1285">
        <f t="shared" si="3"/>
        <v>0</v>
      </c>
    </row>
    <row r="132" spans="1:7" ht="12" customHeight="1" thickBot="1" x14ac:dyDescent="0.25">
      <c r="A132" s="25" t="s">
        <v>20</v>
      </c>
      <c r="B132" s="54" t="s">
        <v>414</v>
      </c>
      <c r="C132" s="257">
        <f>+C133+C134+C135+C136+C137+C138</f>
        <v>0</v>
      </c>
      <c r="D132" s="1284">
        <f>'15. sz. mell. Önk.'!C132+'16. sz. mell. Önk.'!C132</f>
        <v>0</v>
      </c>
      <c r="E132" s="1284">
        <f t="shared" si="4"/>
        <v>0</v>
      </c>
      <c r="F132" s="1285">
        <f t="shared" si="3"/>
        <v>0</v>
      </c>
    </row>
    <row r="133" spans="1:7" ht="12" customHeight="1" thickBot="1" x14ac:dyDescent="0.25">
      <c r="A133" s="193" t="s">
        <v>78</v>
      </c>
      <c r="B133" s="6" t="s">
        <v>415</v>
      </c>
      <c r="C133" s="99"/>
      <c r="D133" s="1284">
        <f>'15. sz. mell. Önk.'!C133+'16. sz. mell. Önk.'!C133</f>
        <v>0</v>
      </c>
      <c r="E133" s="1281">
        <f t="shared" si="4"/>
        <v>0</v>
      </c>
      <c r="F133" s="1285">
        <f t="shared" si="3"/>
        <v>0</v>
      </c>
    </row>
    <row r="134" spans="1:7" ht="12" customHeight="1" thickBot="1" x14ac:dyDescent="0.25">
      <c r="A134" s="193" t="s">
        <v>79</v>
      </c>
      <c r="B134" s="6" t="s">
        <v>416</v>
      </c>
      <c r="C134" s="99"/>
      <c r="D134" s="1284">
        <f>'15. sz. mell. Önk.'!C134+'16. sz. mell. Önk.'!C134</f>
        <v>0</v>
      </c>
      <c r="E134" s="1282">
        <f t="shared" si="4"/>
        <v>0</v>
      </c>
      <c r="F134" s="1285">
        <f t="shared" si="3"/>
        <v>0</v>
      </c>
    </row>
    <row r="135" spans="1:7" ht="12" customHeight="1" thickBot="1" x14ac:dyDescent="0.25">
      <c r="A135" s="193" t="s">
        <v>80</v>
      </c>
      <c r="B135" s="6" t="s">
        <v>417</v>
      </c>
      <c r="C135" s="99"/>
      <c r="D135" s="1284">
        <f>'15. sz. mell. Önk.'!C135+'16. sz. mell. Önk.'!C135</f>
        <v>0</v>
      </c>
      <c r="E135" s="1282">
        <f t="shared" si="4"/>
        <v>0</v>
      </c>
      <c r="F135" s="1285">
        <f t="shared" si="3"/>
        <v>0</v>
      </c>
    </row>
    <row r="136" spans="1:7" ht="12" customHeight="1" thickBot="1" x14ac:dyDescent="0.25">
      <c r="A136" s="193" t="s">
        <v>126</v>
      </c>
      <c r="B136" s="6" t="s">
        <v>456</v>
      </c>
      <c r="C136" s="99"/>
      <c r="D136" s="1284">
        <f>'15. sz. mell. Önk.'!C136+'16. sz. mell. Önk.'!C136</f>
        <v>0</v>
      </c>
      <c r="E136" s="1282">
        <f t="shared" si="4"/>
        <v>0</v>
      </c>
      <c r="F136" s="1285">
        <f t="shared" ref="F136:F155" si="5">C136-D136</f>
        <v>0</v>
      </c>
    </row>
    <row r="137" spans="1:7" ht="12" customHeight="1" thickBot="1" x14ac:dyDescent="0.25">
      <c r="A137" s="193" t="s">
        <v>127</v>
      </c>
      <c r="B137" s="6" t="s">
        <v>419</v>
      </c>
      <c r="C137" s="99"/>
      <c r="D137" s="1284">
        <f>'15. sz. mell. Önk.'!C137+'16. sz. mell. Önk.'!C137</f>
        <v>0</v>
      </c>
      <c r="E137" s="1282">
        <f t="shared" si="4"/>
        <v>0</v>
      </c>
      <c r="F137" s="1285">
        <f t="shared" si="5"/>
        <v>0</v>
      </c>
    </row>
    <row r="138" spans="1:7" s="213" customFormat="1" ht="12" customHeight="1" thickBot="1" x14ac:dyDescent="0.25">
      <c r="A138" s="202" t="s">
        <v>128</v>
      </c>
      <c r="B138" s="4" t="s">
        <v>420</v>
      </c>
      <c r="C138" s="99"/>
      <c r="D138" s="1284">
        <f>'15. sz. mell. Önk.'!C138+'16. sz. mell. Önk.'!C138</f>
        <v>0</v>
      </c>
      <c r="E138" s="1283">
        <f t="shared" si="4"/>
        <v>0</v>
      </c>
      <c r="F138" s="1285">
        <f t="shared" si="5"/>
        <v>0</v>
      </c>
    </row>
    <row r="139" spans="1:7" ht="12" customHeight="1" thickBot="1" x14ac:dyDescent="0.25">
      <c r="A139" s="25" t="s">
        <v>21</v>
      </c>
      <c r="B139" s="54" t="s">
        <v>457</v>
      </c>
      <c r="C139" s="259">
        <f>+C140+C141+C142+C143</f>
        <v>55076107</v>
      </c>
      <c r="D139" s="1284">
        <f>'15. sz. mell. Önk.'!C139+'16. sz. mell. Önk.'!C139</f>
        <v>55076107</v>
      </c>
      <c r="E139" s="1284">
        <f t="shared" si="4"/>
        <v>0</v>
      </c>
      <c r="F139" s="1285">
        <f t="shared" si="5"/>
        <v>0</v>
      </c>
      <c r="G139" s="98"/>
    </row>
    <row r="140" spans="1:7" ht="13.5" thickBot="1" x14ac:dyDescent="0.25">
      <c r="A140" s="193" t="s">
        <v>81</v>
      </c>
      <c r="B140" s="6" t="s">
        <v>304</v>
      </c>
      <c r="C140" s="99"/>
      <c r="D140" s="1284">
        <f>'15. sz. mell. Önk.'!C140+'16. sz. mell. Önk.'!C140</f>
        <v>0</v>
      </c>
      <c r="E140" s="1281">
        <f t="shared" si="4"/>
        <v>0</v>
      </c>
      <c r="F140" s="1285">
        <f t="shared" si="5"/>
        <v>0</v>
      </c>
    </row>
    <row r="141" spans="1:7" ht="12" customHeight="1" thickBot="1" x14ac:dyDescent="0.25">
      <c r="A141" s="193" t="s">
        <v>82</v>
      </c>
      <c r="B141" s="6" t="s">
        <v>305</v>
      </c>
      <c r="C141" s="99">
        <v>55076107</v>
      </c>
      <c r="D141" s="1284">
        <f>'15. sz. mell. Önk.'!C141+'16. sz. mell. Önk.'!C141</f>
        <v>55076107</v>
      </c>
      <c r="E141" s="1282">
        <f t="shared" si="4"/>
        <v>0</v>
      </c>
      <c r="F141" s="1285">
        <f t="shared" si="5"/>
        <v>0</v>
      </c>
    </row>
    <row r="142" spans="1:7" s="213" customFormat="1" ht="12" customHeight="1" thickBot="1" x14ac:dyDescent="0.25">
      <c r="A142" s="193" t="s">
        <v>218</v>
      </c>
      <c r="B142" s="6" t="s">
        <v>422</v>
      </c>
      <c r="C142" s="99"/>
      <c r="D142" s="1284">
        <f>'15. sz. mell. Önk.'!C142+'16. sz. mell. Önk.'!C142</f>
        <v>0</v>
      </c>
      <c r="E142" s="1282">
        <f t="shared" si="4"/>
        <v>0</v>
      </c>
      <c r="F142" s="1285">
        <f t="shared" si="5"/>
        <v>0</v>
      </c>
    </row>
    <row r="143" spans="1:7" s="213" customFormat="1" ht="12" customHeight="1" thickBot="1" x14ac:dyDescent="0.25">
      <c r="A143" s="202" t="s">
        <v>219</v>
      </c>
      <c r="B143" s="4" t="s">
        <v>323</v>
      </c>
      <c r="C143" s="99"/>
      <c r="D143" s="1284">
        <f>'15. sz. mell. Önk.'!C143+'16. sz. mell. Önk.'!C143</f>
        <v>0</v>
      </c>
      <c r="E143" s="1283">
        <f t="shared" si="4"/>
        <v>0</v>
      </c>
      <c r="F143" s="1285">
        <f t="shared" si="5"/>
        <v>0</v>
      </c>
    </row>
    <row r="144" spans="1:7" s="213" customFormat="1" ht="12" customHeight="1" thickBot="1" x14ac:dyDescent="0.25">
      <c r="A144" s="25" t="s">
        <v>22</v>
      </c>
      <c r="B144" s="54" t="s">
        <v>423</v>
      </c>
      <c r="C144" s="264">
        <f>+C145+C146+C147+C148+C149</f>
        <v>0</v>
      </c>
      <c r="D144" s="1284">
        <f>'15. sz. mell. Önk.'!C144+'16. sz. mell. Önk.'!C144</f>
        <v>0</v>
      </c>
      <c r="E144" s="1284">
        <f t="shared" si="4"/>
        <v>0</v>
      </c>
      <c r="F144" s="1285">
        <f t="shared" si="5"/>
        <v>0</v>
      </c>
    </row>
    <row r="145" spans="1:6" s="213" customFormat="1" ht="12" customHeight="1" thickBot="1" x14ac:dyDescent="0.25">
      <c r="A145" s="193" t="s">
        <v>83</v>
      </c>
      <c r="B145" s="6" t="s">
        <v>424</v>
      </c>
      <c r="C145" s="99"/>
      <c r="D145" s="1284">
        <f>'15. sz. mell. Önk.'!C145+'16. sz. mell. Önk.'!C145</f>
        <v>0</v>
      </c>
      <c r="E145" s="1281">
        <f t="shared" si="4"/>
        <v>0</v>
      </c>
      <c r="F145" s="1285">
        <f t="shared" si="5"/>
        <v>0</v>
      </c>
    </row>
    <row r="146" spans="1:6" s="213" customFormat="1" ht="12" customHeight="1" thickBot="1" x14ac:dyDescent="0.25">
      <c r="A146" s="193" t="s">
        <v>84</v>
      </c>
      <c r="B146" s="6" t="s">
        <v>425</v>
      </c>
      <c r="C146" s="99"/>
      <c r="D146" s="1284">
        <f>'15. sz. mell. Önk.'!C146+'16. sz. mell. Önk.'!C146</f>
        <v>0</v>
      </c>
      <c r="E146" s="1282">
        <f t="shared" si="4"/>
        <v>0</v>
      </c>
      <c r="F146" s="1285">
        <f t="shared" si="5"/>
        <v>0</v>
      </c>
    </row>
    <row r="147" spans="1:6" s="213" customFormat="1" ht="12" customHeight="1" thickBot="1" x14ac:dyDescent="0.25">
      <c r="A147" s="193" t="s">
        <v>230</v>
      </c>
      <c r="B147" s="6" t="s">
        <v>426</v>
      </c>
      <c r="C147" s="99"/>
      <c r="D147" s="1284">
        <f>'15. sz. mell. Önk.'!C147+'16. sz. mell. Önk.'!C147</f>
        <v>0</v>
      </c>
      <c r="E147" s="1282">
        <f t="shared" si="4"/>
        <v>0</v>
      </c>
      <c r="F147" s="1285">
        <f t="shared" si="5"/>
        <v>0</v>
      </c>
    </row>
    <row r="148" spans="1:6" s="213" customFormat="1" ht="12" customHeight="1" thickBot="1" x14ac:dyDescent="0.25">
      <c r="A148" s="193" t="s">
        <v>231</v>
      </c>
      <c r="B148" s="6" t="s">
        <v>458</v>
      </c>
      <c r="C148" s="99"/>
      <c r="D148" s="1284">
        <f>'15. sz. mell. Önk.'!C148+'16. sz. mell. Önk.'!C148</f>
        <v>0</v>
      </c>
      <c r="E148" s="1282">
        <f t="shared" si="4"/>
        <v>0</v>
      </c>
      <c r="F148" s="1285">
        <f t="shared" si="5"/>
        <v>0</v>
      </c>
    </row>
    <row r="149" spans="1:6" ht="12.75" customHeight="1" thickBot="1" x14ac:dyDescent="0.25">
      <c r="A149" s="202" t="s">
        <v>428</v>
      </c>
      <c r="B149" s="4" t="s">
        <v>429</v>
      </c>
      <c r="C149" s="100"/>
      <c r="D149" s="1284">
        <f>'15. sz. mell. Önk.'!C149+'16. sz. mell. Önk.'!C149</f>
        <v>0</v>
      </c>
      <c r="E149" s="1283">
        <f t="shared" si="4"/>
        <v>0</v>
      </c>
      <c r="F149" s="1285">
        <f t="shared" si="5"/>
        <v>0</v>
      </c>
    </row>
    <row r="150" spans="1:6" ht="12.75" customHeight="1" thickBot="1" x14ac:dyDescent="0.25">
      <c r="A150" s="246" t="s">
        <v>23</v>
      </c>
      <c r="B150" s="54" t="s">
        <v>430</v>
      </c>
      <c r="C150" s="264"/>
      <c r="D150" s="1284">
        <f>'15. sz. mell. Önk.'!C150+'16. sz. mell. Önk.'!C150</f>
        <v>0</v>
      </c>
      <c r="E150" s="1284">
        <f t="shared" si="4"/>
        <v>0</v>
      </c>
      <c r="F150" s="1285">
        <f t="shared" si="5"/>
        <v>0</v>
      </c>
    </row>
    <row r="151" spans="1:6" ht="12.75" customHeight="1" thickBot="1" x14ac:dyDescent="0.25">
      <c r="A151" s="246" t="s">
        <v>24</v>
      </c>
      <c r="B151" s="54" t="s">
        <v>431</v>
      </c>
      <c r="C151" s="264"/>
      <c r="D151" s="1284">
        <f>'15. sz. mell. Önk.'!C151+'16. sz. mell. Önk.'!C151</f>
        <v>0</v>
      </c>
      <c r="E151" s="1284">
        <f t="shared" si="4"/>
        <v>0</v>
      </c>
      <c r="F151" s="1285">
        <f t="shared" si="5"/>
        <v>0</v>
      </c>
    </row>
    <row r="152" spans="1:6" ht="12" customHeight="1" thickBot="1" x14ac:dyDescent="0.25">
      <c r="A152" s="25" t="s">
        <v>25</v>
      </c>
      <c r="B152" s="54" t="s">
        <v>432</v>
      </c>
      <c r="C152" s="265">
        <f>+C128+C132+C139+C144+C150+C151</f>
        <v>1127804403</v>
      </c>
      <c r="D152" s="1284">
        <f>'15. sz. mell. Önk.'!C152+'16. sz. mell. Önk.'!C152</f>
        <v>1127804403</v>
      </c>
      <c r="E152" s="1284">
        <f t="shared" si="4"/>
        <v>0</v>
      </c>
      <c r="F152" s="1285">
        <f t="shared" si="5"/>
        <v>0</v>
      </c>
    </row>
    <row r="153" spans="1:6" ht="15" customHeight="1" thickBot="1" x14ac:dyDescent="0.25">
      <c r="A153" s="204" t="s">
        <v>26</v>
      </c>
      <c r="B153" s="166" t="s">
        <v>433</v>
      </c>
      <c r="C153" s="265">
        <f>+C127+C152</f>
        <v>5829082848</v>
      </c>
      <c r="D153" s="1284">
        <f>'15. sz. mell. Önk.'!C153+'16. sz. mell. Önk.'!C153</f>
        <v>5829082848</v>
      </c>
      <c r="E153" s="1284">
        <f t="shared" si="4"/>
        <v>0</v>
      </c>
      <c r="F153" s="1285">
        <f t="shared" si="5"/>
        <v>0</v>
      </c>
    </row>
    <row r="154" spans="1:6" ht="15" customHeight="1" thickBot="1" x14ac:dyDescent="0.25">
      <c r="A154" s="1376" t="s">
        <v>459</v>
      </c>
      <c r="B154" s="1377"/>
      <c r="C154" s="996">
        <f>6</f>
        <v>6</v>
      </c>
      <c r="D154" s="1286">
        <f>'15. sz. mell. Önk.'!C154+'16. sz. mell. Önk.'!C154</f>
        <v>7.67</v>
      </c>
      <c r="E154" s="1284">
        <f t="shared" si="4"/>
        <v>-1.67</v>
      </c>
      <c r="F154" s="1285">
        <f t="shared" si="5"/>
        <v>-1.67</v>
      </c>
    </row>
    <row r="155" spans="1:6" ht="15" customHeight="1" thickBot="1" x14ac:dyDescent="0.25">
      <c r="A155" s="1378" t="s">
        <v>1055</v>
      </c>
      <c r="B155" s="1379"/>
      <c r="C155" s="1080">
        <v>1.67</v>
      </c>
      <c r="D155" s="1284">
        <f>'15. sz. mell. Önk.'!C155+'16. sz. mell. Önk.'!C155</f>
        <v>0</v>
      </c>
      <c r="E155" s="1284">
        <f>C155-D155</f>
        <v>1.67</v>
      </c>
      <c r="F155" s="1285">
        <f t="shared" si="5"/>
        <v>1.67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2" manualBreakCount="2">
    <brk id="69" max="16383" man="1"/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zoomScale="115" zoomScaleNormal="115" zoomScaleSheetLayoutView="70" workbookViewId="0">
      <selection activeCell="I60" sqref="I60"/>
    </sheetView>
  </sheetViews>
  <sheetFormatPr defaultRowHeight="12.75" x14ac:dyDescent="0.2"/>
  <cols>
    <col min="1" max="1" width="19.5" style="326" customWidth="1"/>
    <col min="2" max="2" width="72" style="327" customWidth="1"/>
    <col min="3" max="3" width="25" style="328" customWidth="1"/>
    <col min="4" max="4" width="17.33203125" style="304" bestFit="1" customWidth="1"/>
    <col min="5" max="16384" width="9.33203125" style="304"/>
  </cols>
  <sheetData>
    <row r="1" spans="1:6" x14ac:dyDescent="0.2">
      <c r="A1" s="1375" t="str">
        <f>CONCATENATE("11. melléklet"," ",ALAPADATOK!A7," ",ALAPADATOK!B7," ",ALAPADATOK!C7," ",ALAPADATOK!D8," ",ALAPADATOK!E7," ",ALAPADATOK!F7," ",ALAPADATOK!G7," ",ALAPADATOK!H7)</f>
        <v>11. melléklet az 5 / 2023. ( II.24. ) önkormányzati rendelethez</v>
      </c>
      <c r="B1" s="1375"/>
      <c r="C1" s="1375"/>
    </row>
    <row r="2" spans="1:6" s="1" customFormat="1" ht="16.5" customHeight="1" x14ac:dyDescent="0.2">
      <c r="A2" s="75"/>
      <c r="B2" s="76"/>
      <c r="C2" s="97"/>
    </row>
    <row r="3" spans="1:6" s="1" customFormat="1" ht="16.5" customHeight="1" thickBot="1" x14ac:dyDescent="0.25">
      <c r="A3" s="1335" t="s">
        <v>896</v>
      </c>
      <c r="B3" s="1335"/>
      <c r="C3" s="1335"/>
      <c r="D3" s="643"/>
      <c r="E3" s="643"/>
      <c r="F3" s="642"/>
    </row>
    <row r="4" spans="1:6" ht="13.5" thickBot="1" x14ac:dyDescent="0.25">
      <c r="A4" s="172" t="s">
        <v>153</v>
      </c>
      <c r="B4" s="79" t="s">
        <v>50</v>
      </c>
      <c r="C4" s="154" t="s">
        <v>895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1"/>
      <c r="B6" s="82" t="s">
        <v>52</v>
      </c>
      <c r="C6" s="155"/>
    </row>
    <row r="7" spans="1:6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1402147796</v>
      </c>
    </row>
    <row r="8" spans="1:6" s="38" customFormat="1" ht="12" customHeight="1" x14ac:dyDescent="0.2">
      <c r="A8" s="193" t="s">
        <v>85</v>
      </c>
      <c r="B8" s="180" t="s">
        <v>180</v>
      </c>
      <c r="C8" s="214">
        <v>301236891</v>
      </c>
    </row>
    <row r="9" spans="1:6" s="39" customFormat="1" ht="12" customHeight="1" x14ac:dyDescent="0.2">
      <c r="A9" s="194" t="s">
        <v>86</v>
      </c>
      <c r="B9" s="181" t="s">
        <v>181</v>
      </c>
      <c r="C9" s="1295">
        <f>296342550-3287300-387000-399579</f>
        <v>292268671</v>
      </c>
    </row>
    <row r="10" spans="1:6" s="39" customFormat="1" ht="22.5" x14ac:dyDescent="0.2">
      <c r="A10" s="194" t="s">
        <v>87</v>
      </c>
      <c r="B10" s="181" t="s">
        <v>719</v>
      </c>
      <c r="C10" s="1295">
        <f>SUM(C11:C12)</f>
        <v>674121606</v>
      </c>
    </row>
    <row r="11" spans="1:6" s="39" customFormat="1" ht="12" customHeight="1" x14ac:dyDescent="0.2">
      <c r="A11" s="194" t="s">
        <v>717</v>
      </c>
      <c r="B11" s="181" t="s">
        <v>720</v>
      </c>
      <c r="C11" s="1295">
        <f>367216923+853520+9267220-9008926</f>
        <v>368328737</v>
      </c>
    </row>
    <row r="12" spans="1:6" s="39" customFormat="1" ht="12" customHeight="1" x14ac:dyDescent="0.2">
      <c r="A12" s="194" t="s">
        <v>718</v>
      </c>
      <c r="B12" s="181" t="s">
        <v>721</v>
      </c>
      <c r="C12" s="1295">
        <f>271004659+9943669-3548160+28503770-111069</f>
        <v>305792869</v>
      </c>
    </row>
    <row r="13" spans="1:6" s="39" customFormat="1" ht="12" customHeight="1" x14ac:dyDescent="0.2">
      <c r="A13" s="194" t="s">
        <v>88</v>
      </c>
      <c r="B13" s="181" t="s">
        <v>183</v>
      </c>
      <c r="C13" s="114">
        <f>41287119+1055000</f>
        <v>42342119</v>
      </c>
    </row>
    <row r="14" spans="1:6" s="39" customFormat="1" ht="12" customHeight="1" x14ac:dyDescent="0.2">
      <c r="A14" s="194" t="s">
        <v>111</v>
      </c>
      <c r="B14" s="181" t="s">
        <v>446</v>
      </c>
      <c r="C14" s="1295">
        <f>335081987-13275647-4000000-233996227</f>
        <v>83810113</v>
      </c>
    </row>
    <row r="15" spans="1:6" s="38" customFormat="1" ht="12" customHeight="1" thickBot="1" x14ac:dyDescent="0.25">
      <c r="A15" s="195" t="s">
        <v>89</v>
      </c>
      <c r="B15" s="182" t="s">
        <v>389</v>
      </c>
      <c r="C15" s="248">
        <v>8368396</v>
      </c>
    </row>
    <row r="16" spans="1:6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184006057</v>
      </c>
    </row>
    <row r="17" spans="1:3" s="38" customFormat="1" ht="12" customHeight="1" x14ac:dyDescent="0.2">
      <c r="A17" s="193" t="s">
        <v>91</v>
      </c>
      <c r="B17" s="180" t="s">
        <v>185</v>
      </c>
      <c r="C17" s="258"/>
    </row>
    <row r="18" spans="1:3" s="38" customFormat="1" ht="12" customHeight="1" x14ac:dyDescent="0.2">
      <c r="A18" s="194" t="s">
        <v>92</v>
      </c>
      <c r="B18" s="181" t="s">
        <v>186</v>
      </c>
      <c r="C18" s="99"/>
    </row>
    <row r="19" spans="1:3" s="38" customFormat="1" ht="12" customHeight="1" x14ac:dyDescent="0.2">
      <c r="A19" s="194" t="s">
        <v>93</v>
      </c>
      <c r="B19" s="181" t="s">
        <v>352</v>
      </c>
      <c r="C19" s="99"/>
    </row>
    <row r="20" spans="1:3" s="38" customFormat="1" ht="12" customHeight="1" x14ac:dyDescent="0.2">
      <c r="A20" s="194" t="s">
        <v>94</v>
      </c>
      <c r="B20" s="181" t="s">
        <v>353</v>
      </c>
      <c r="C20" s="99"/>
    </row>
    <row r="21" spans="1:3" s="38" customFormat="1" ht="12" customHeight="1" x14ac:dyDescent="0.2">
      <c r="A21" s="194" t="s">
        <v>95</v>
      </c>
      <c r="B21" s="181" t="s">
        <v>187</v>
      </c>
      <c r="C21" s="1296">
        <f>93565378+46562787+38972292+4000000+905600</f>
        <v>184006057</v>
      </c>
    </row>
    <row r="22" spans="1:3" s="39" customFormat="1" ht="12" customHeight="1" thickBot="1" x14ac:dyDescent="0.25">
      <c r="A22" s="195" t="s">
        <v>104</v>
      </c>
      <c r="B22" s="182" t="s">
        <v>188</v>
      </c>
      <c r="C22" s="251">
        <f>56195378+37562787+38972292</f>
        <v>132730457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1244608102</v>
      </c>
    </row>
    <row r="24" spans="1:3" s="39" customFormat="1" ht="12" customHeight="1" x14ac:dyDescent="0.2">
      <c r="A24" s="193" t="s">
        <v>74</v>
      </c>
      <c r="B24" s="180" t="s">
        <v>190</v>
      </c>
      <c r="C24" s="677">
        <f>28773000-20388540</f>
        <v>8384460</v>
      </c>
    </row>
    <row r="25" spans="1:3" s="38" customFormat="1" ht="12" customHeight="1" x14ac:dyDescent="0.2">
      <c r="A25" s="194" t="s">
        <v>75</v>
      </c>
      <c r="B25" s="181" t="s">
        <v>191</v>
      </c>
      <c r="C25" s="248"/>
    </row>
    <row r="26" spans="1:3" s="39" customFormat="1" ht="12" customHeight="1" x14ac:dyDescent="0.2">
      <c r="A26" s="194" t="s">
        <v>76</v>
      </c>
      <c r="B26" s="181" t="s">
        <v>354</v>
      </c>
      <c r="C26" s="248"/>
    </row>
    <row r="27" spans="1:3" s="39" customFormat="1" ht="12" customHeight="1" x14ac:dyDescent="0.2">
      <c r="A27" s="194" t="s">
        <v>77</v>
      </c>
      <c r="B27" s="181" t="s">
        <v>355</v>
      </c>
      <c r="C27" s="248"/>
    </row>
    <row r="28" spans="1:3" s="39" customFormat="1" ht="12" customHeight="1" x14ac:dyDescent="0.2">
      <c r="A28" s="194" t="s">
        <v>122</v>
      </c>
      <c r="B28" s="181" t="s">
        <v>192</v>
      </c>
      <c r="C28" s="248">
        <f>242049642+137436248+780000830+76736922</f>
        <v>1236223642</v>
      </c>
    </row>
    <row r="29" spans="1:3" s="39" customFormat="1" ht="12" customHeight="1" thickBot="1" x14ac:dyDescent="0.25">
      <c r="A29" s="195" t="s">
        <v>123</v>
      </c>
      <c r="B29" s="182" t="s">
        <v>193</v>
      </c>
      <c r="C29" s="251">
        <f>242049642+137436248+780000830+76736922</f>
        <v>1236223642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259">
        <f>+C31++C35+C36</f>
        <v>474994000</v>
      </c>
    </row>
    <row r="31" spans="1:3" s="39" customFormat="1" ht="12" customHeight="1" x14ac:dyDescent="0.2">
      <c r="A31" s="193" t="s">
        <v>195</v>
      </c>
      <c r="B31" s="180" t="s">
        <v>562</v>
      </c>
      <c r="C31" s="271">
        <f>SUM(C32:C33)</f>
        <v>459602000</v>
      </c>
    </row>
    <row r="32" spans="1:3" s="39" customFormat="1" ht="12" customHeight="1" x14ac:dyDescent="0.2">
      <c r="A32" s="194" t="s">
        <v>196</v>
      </c>
      <c r="B32" s="181" t="s">
        <v>201</v>
      </c>
      <c r="C32" s="248">
        <f>85000000+5500000</f>
        <v>90500000</v>
      </c>
    </row>
    <row r="33" spans="1:3" s="39" customFormat="1" ht="12" customHeight="1" x14ac:dyDescent="0.2">
      <c r="A33" s="194" t="s">
        <v>197</v>
      </c>
      <c r="B33" s="234" t="s">
        <v>561</v>
      </c>
      <c r="C33" s="1296">
        <f>286055000+50000000+33047000</f>
        <v>369102000</v>
      </c>
    </row>
    <row r="34" spans="1:3" s="39" customFormat="1" ht="12" customHeight="1" x14ac:dyDescent="0.2">
      <c r="A34" s="194" t="s">
        <v>198</v>
      </c>
      <c r="B34" s="181" t="s">
        <v>472</v>
      </c>
      <c r="C34" s="248"/>
    </row>
    <row r="35" spans="1:3" s="39" customFormat="1" ht="12" customHeight="1" x14ac:dyDescent="0.2">
      <c r="A35" s="194" t="s">
        <v>199</v>
      </c>
      <c r="B35" s="181" t="s">
        <v>203</v>
      </c>
      <c r="C35" s="1296">
        <v>592000</v>
      </c>
    </row>
    <row r="36" spans="1:3" s="39" customFormat="1" ht="12" customHeight="1" thickBot="1" x14ac:dyDescent="0.25">
      <c r="A36" s="195" t="s">
        <v>200</v>
      </c>
      <c r="B36" s="182" t="s">
        <v>204</v>
      </c>
      <c r="C36" s="251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257">
        <f>SUM(C38:C48)</f>
        <v>54852549</v>
      </c>
    </row>
    <row r="38" spans="1:3" s="39" customFormat="1" ht="12" customHeight="1" x14ac:dyDescent="0.2">
      <c r="A38" s="193" t="s">
        <v>78</v>
      </c>
      <c r="B38" s="180" t="s">
        <v>207</v>
      </c>
      <c r="C38" s="677"/>
    </row>
    <row r="39" spans="1:3" s="39" customFormat="1" ht="12" customHeight="1" x14ac:dyDescent="0.2">
      <c r="A39" s="194" t="s">
        <v>79</v>
      </c>
      <c r="B39" s="181" t="s">
        <v>208</v>
      </c>
      <c r="C39" s="248">
        <v>11700000</v>
      </c>
    </row>
    <row r="40" spans="1:3" s="39" customFormat="1" ht="12" customHeight="1" x14ac:dyDescent="0.2">
      <c r="A40" s="194" t="s">
        <v>80</v>
      </c>
      <c r="B40" s="181" t="s">
        <v>209</v>
      </c>
      <c r="C40" s="248">
        <f>13152488+250000+4500000+3000000</f>
        <v>20902488</v>
      </c>
    </row>
    <row r="41" spans="1:3" s="39" customFormat="1" ht="12" customHeight="1" x14ac:dyDescent="0.2">
      <c r="A41" s="194" t="s">
        <v>126</v>
      </c>
      <c r="B41" s="181" t="s">
        <v>210</v>
      </c>
      <c r="C41" s="248">
        <v>9500000</v>
      </c>
    </row>
    <row r="42" spans="1:3" s="39" customFormat="1" ht="12" customHeight="1" x14ac:dyDescent="0.2">
      <c r="A42" s="194" t="s">
        <v>127</v>
      </c>
      <c r="B42" s="181" t="s">
        <v>211</v>
      </c>
      <c r="C42" s="248"/>
    </row>
    <row r="43" spans="1:3" s="39" customFormat="1" ht="12" customHeight="1" x14ac:dyDescent="0.2">
      <c r="A43" s="194" t="s">
        <v>128</v>
      </c>
      <c r="B43" s="181" t="s">
        <v>212</v>
      </c>
      <c r="C43" s="248">
        <f>8027280+67500+1215000+810000</f>
        <v>10119780</v>
      </c>
    </row>
    <row r="44" spans="1:3" s="39" customFormat="1" ht="12" customHeight="1" x14ac:dyDescent="0.2">
      <c r="A44" s="194" t="s">
        <v>129</v>
      </c>
      <c r="B44" s="181" t="s">
        <v>213</v>
      </c>
      <c r="C44" s="1022"/>
    </row>
    <row r="45" spans="1:3" s="39" customFormat="1" ht="12" customHeight="1" x14ac:dyDescent="0.2">
      <c r="A45" s="194" t="s">
        <v>130</v>
      </c>
      <c r="B45" s="181" t="s">
        <v>214</v>
      </c>
      <c r="C45" s="248"/>
    </row>
    <row r="46" spans="1:3" s="39" customFormat="1" ht="12" customHeight="1" x14ac:dyDescent="0.2">
      <c r="A46" s="194" t="s">
        <v>205</v>
      </c>
      <c r="B46" s="181" t="s">
        <v>215</v>
      </c>
      <c r="C46" s="248"/>
    </row>
    <row r="47" spans="1:3" s="39" customFormat="1" ht="12" customHeight="1" x14ac:dyDescent="0.2">
      <c r="A47" s="195" t="s">
        <v>206</v>
      </c>
      <c r="B47" s="182" t="s">
        <v>391</v>
      </c>
      <c r="C47" s="1141">
        <v>1622680</v>
      </c>
    </row>
    <row r="48" spans="1:3" s="39" customFormat="1" ht="12" customHeight="1" thickBot="1" x14ac:dyDescent="0.25">
      <c r="A48" s="195" t="s">
        <v>392</v>
      </c>
      <c r="B48" s="182" t="s">
        <v>216</v>
      </c>
      <c r="C48" s="251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257">
        <f>SUM(C50:C54)</f>
        <v>48000000</v>
      </c>
    </row>
    <row r="50" spans="1:3" s="39" customFormat="1" ht="12" customHeight="1" x14ac:dyDescent="0.2">
      <c r="A50" s="193" t="s">
        <v>81</v>
      </c>
      <c r="B50" s="180" t="s">
        <v>221</v>
      </c>
      <c r="C50" s="677"/>
    </row>
    <row r="51" spans="1:3" s="39" customFormat="1" ht="12" customHeight="1" x14ac:dyDescent="0.2">
      <c r="A51" s="194" t="s">
        <v>82</v>
      </c>
      <c r="B51" s="181" t="s">
        <v>222</v>
      </c>
      <c r="C51" s="248">
        <v>48000000</v>
      </c>
    </row>
    <row r="52" spans="1:3" s="39" customFormat="1" ht="12" customHeight="1" x14ac:dyDescent="0.2">
      <c r="A52" s="194" t="s">
        <v>218</v>
      </c>
      <c r="B52" s="181" t="s">
        <v>223</v>
      </c>
      <c r="C52" s="248"/>
    </row>
    <row r="53" spans="1:3" s="39" customFormat="1" ht="12" customHeight="1" x14ac:dyDescent="0.2">
      <c r="A53" s="194" t="s">
        <v>219</v>
      </c>
      <c r="B53" s="181" t="s">
        <v>224</v>
      </c>
      <c r="C53" s="248"/>
    </row>
    <row r="54" spans="1:3" s="39" customFormat="1" ht="12" customHeight="1" thickBot="1" x14ac:dyDescent="0.25">
      <c r="A54" s="195" t="s">
        <v>220</v>
      </c>
      <c r="B54" s="182" t="s">
        <v>225</v>
      </c>
      <c r="C54" s="251"/>
    </row>
    <row r="55" spans="1:3" s="39" customFormat="1" ht="12" customHeight="1" thickBot="1" x14ac:dyDescent="0.25">
      <c r="A55" s="25" t="s">
        <v>131</v>
      </c>
      <c r="B55" s="18" t="s">
        <v>226</v>
      </c>
      <c r="C55" s="257">
        <f>SUM(C56:C58)</f>
        <v>1435987</v>
      </c>
    </row>
    <row r="56" spans="1:3" s="39" customFormat="1" ht="12" customHeight="1" x14ac:dyDescent="0.2">
      <c r="A56" s="193" t="s">
        <v>83</v>
      </c>
      <c r="B56" s="180" t="s">
        <v>227</v>
      </c>
      <c r="C56" s="677">
        <v>1000000</v>
      </c>
    </row>
    <row r="57" spans="1:3" s="39" customFormat="1" ht="12" customHeight="1" x14ac:dyDescent="0.2">
      <c r="A57" s="194" t="s">
        <v>84</v>
      </c>
      <c r="B57" s="181" t="s">
        <v>356</v>
      </c>
      <c r="C57" s="1022"/>
    </row>
    <row r="58" spans="1:3" s="39" customFormat="1" ht="12" customHeight="1" x14ac:dyDescent="0.2">
      <c r="A58" s="194" t="s">
        <v>230</v>
      </c>
      <c r="B58" s="181" t="s">
        <v>228</v>
      </c>
      <c r="C58" s="1296">
        <v>435987</v>
      </c>
    </row>
    <row r="59" spans="1:3" s="39" customFormat="1" ht="12" customHeight="1" thickBot="1" x14ac:dyDescent="0.25">
      <c r="A59" s="195" t="s">
        <v>231</v>
      </c>
      <c r="B59" s="182" t="s">
        <v>229</v>
      </c>
      <c r="C59" s="100"/>
    </row>
    <row r="60" spans="1:3" s="39" customFormat="1" ht="12" customHeight="1" thickBot="1" x14ac:dyDescent="0.25">
      <c r="A60" s="25" t="s">
        <v>23</v>
      </c>
      <c r="B60" s="105" t="s">
        <v>232</v>
      </c>
      <c r="C60" s="257">
        <f>SUM(C61:C63)</f>
        <v>12020788</v>
      </c>
    </row>
    <row r="61" spans="1:3" s="39" customFormat="1" ht="12" customHeight="1" x14ac:dyDescent="0.2">
      <c r="A61" s="193" t="s">
        <v>132</v>
      </c>
      <c r="B61" s="180" t="s">
        <v>234</v>
      </c>
      <c r="C61" s="248"/>
    </row>
    <row r="62" spans="1:3" s="39" customFormat="1" ht="12" customHeight="1" x14ac:dyDescent="0.2">
      <c r="A62" s="194" t="s">
        <v>133</v>
      </c>
      <c r="B62" s="181" t="s">
        <v>357</v>
      </c>
      <c r="C62" s="248"/>
    </row>
    <row r="63" spans="1:3" s="39" customFormat="1" ht="12" customHeight="1" x14ac:dyDescent="0.2">
      <c r="A63" s="194" t="s">
        <v>158</v>
      </c>
      <c r="B63" s="181" t="s">
        <v>235</v>
      </c>
      <c r="C63" s="1296">
        <v>12020788</v>
      </c>
    </row>
    <row r="64" spans="1:3" s="39" customFormat="1" ht="12" customHeight="1" thickBot="1" x14ac:dyDescent="0.25">
      <c r="A64" s="195" t="s">
        <v>233</v>
      </c>
      <c r="B64" s="182" t="s">
        <v>236</v>
      </c>
      <c r="C64" s="248"/>
    </row>
    <row r="65" spans="1:3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3422065279</v>
      </c>
    </row>
    <row r="66" spans="1:3" s="39" customFormat="1" ht="12" customHeight="1" thickBot="1" x14ac:dyDescent="0.2">
      <c r="A66" s="196" t="s">
        <v>327</v>
      </c>
      <c r="B66" s="105" t="s">
        <v>239</v>
      </c>
      <c r="C66" s="257">
        <f>SUM(C67:C69)</f>
        <v>1217733250</v>
      </c>
    </row>
    <row r="67" spans="1:3" s="39" customFormat="1" ht="12" customHeight="1" x14ac:dyDescent="0.2">
      <c r="A67" s="193" t="s">
        <v>270</v>
      </c>
      <c r="B67" s="180" t="s">
        <v>240</v>
      </c>
      <c r="C67" s="248">
        <f>187733250-20000000</f>
        <v>167733250</v>
      </c>
    </row>
    <row r="68" spans="1:3" s="39" customFormat="1" ht="12" customHeight="1" x14ac:dyDescent="0.2">
      <c r="A68" s="194" t="s">
        <v>279</v>
      </c>
      <c r="B68" s="181" t="s">
        <v>241</v>
      </c>
      <c r="C68" s="248">
        <f>1000000000+50000000</f>
        <v>1050000000</v>
      </c>
    </row>
    <row r="69" spans="1:3" s="39" customFormat="1" ht="12" customHeight="1" thickBot="1" x14ac:dyDescent="0.25">
      <c r="A69" s="195" t="s">
        <v>280</v>
      </c>
      <c r="B69" s="183" t="s">
        <v>242</v>
      </c>
      <c r="C69" s="248"/>
    </row>
    <row r="70" spans="1:3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</row>
    <row r="71" spans="1:3" s="39" customFormat="1" ht="12" customHeight="1" x14ac:dyDescent="0.2">
      <c r="A71" s="193" t="s">
        <v>112</v>
      </c>
      <c r="B71" s="180" t="s">
        <v>245</v>
      </c>
      <c r="C71" s="248"/>
    </row>
    <row r="72" spans="1:3" s="39" customFormat="1" ht="12" customHeight="1" x14ac:dyDescent="0.2">
      <c r="A72" s="194" t="s">
        <v>113</v>
      </c>
      <c r="B72" s="181" t="s">
        <v>246</v>
      </c>
      <c r="C72" s="248"/>
    </row>
    <row r="73" spans="1:3" s="39" customFormat="1" ht="12" customHeight="1" x14ac:dyDescent="0.2">
      <c r="A73" s="194" t="s">
        <v>271</v>
      </c>
      <c r="B73" s="181" t="s">
        <v>247</v>
      </c>
      <c r="C73" s="248"/>
    </row>
    <row r="74" spans="1:3" s="39" customFormat="1" ht="12" customHeight="1" thickBot="1" x14ac:dyDescent="0.25">
      <c r="A74" s="195" t="s">
        <v>272</v>
      </c>
      <c r="B74" s="182" t="s">
        <v>248</v>
      </c>
      <c r="C74" s="248"/>
    </row>
    <row r="75" spans="1:3" s="39" customFormat="1" ht="12" customHeight="1" thickBot="1" x14ac:dyDescent="0.2">
      <c r="A75" s="196" t="s">
        <v>249</v>
      </c>
      <c r="B75" s="105" t="s">
        <v>250</v>
      </c>
      <c r="C75" s="257">
        <f>SUM(C76:C77)</f>
        <v>2381931880</v>
      </c>
    </row>
    <row r="76" spans="1:3" s="39" customFormat="1" ht="12" customHeight="1" x14ac:dyDescent="0.2">
      <c r="A76" s="193" t="s">
        <v>273</v>
      </c>
      <c r="B76" s="180" t="s">
        <v>251</v>
      </c>
      <c r="C76" s="248">
        <v>2381931880</v>
      </c>
    </row>
    <row r="77" spans="1:3" s="39" customFormat="1" ht="12" customHeight="1" thickBot="1" x14ac:dyDescent="0.25">
      <c r="A77" s="195" t="s">
        <v>274</v>
      </c>
      <c r="B77" s="182" t="s">
        <v>252</v>
      </c>
      <c r="C77" s="248"/>
    </row>
    <row r="78" spans="1:3" s="38" customFormat="1" ht="12" customHeight="1" thickBot="1" x14ac:dyDescent="0.2">
      <c r="A78" s="196" t="s">
        <v>253</v>
      </c>
      <c r="B78" s="105" t="s">
        <v>254</v>
      </c>
      <c r="C78" s="257">
        <f>SUM(C79:C81)</f>
        <v>61842606</v>
      </c>
    </row>
    <row r="79" spans="1:3" s="39" customFormat="1" ht="12" customHeight="1" x14ac:dyDescent="0.2">
      <c r="A79" s="193" t="s">
        <v>275</v>
      </c>
      <c r="B79" s="180" t="s">
        <v>255</v>
      </c>
      <c r="C79" s="1296">
        <f>55076107+6766499</f>
        <v>61842606</v>
      </c>
    </row>
    <row r="80" spans="1:3" s="39" customFormat="1" ht="12" customHeight="1" x14ac:dyDescent="0.2">
      <c r="A80" s="194" t="s">
        <v>276</v>
      </c>
      <c r="B80" s="181" t="s">
        <v>256</v>
      </c>
      <c r="C80" s="248"/>
    </row>
    <row r="81" spans="1:4" s="39" customFormat="1" ht="12" customHeight="1" thickBot="1" x14ac:dyDescent="0.25">
      <c r="A81" s="195" t="s">
        <v>277</v>
      </c>
      <c r="B81" s="182" t="s">
        <v>257</v>
      </c>
      <c r="C81" s="248"/>
    </row>
    <row r="82" spans="1:4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</row>
    <row r="83" spans="1:4" s="39" customFormat="1" ht="12" customHeight="1" x14ac:dyDescent="0.2">
      <c r="A83" s="197" t="s">
        <v>259</v>
      </c>
      <c r="B83" s="180" t="s">
        <v>260</v>
      </c>
      <c r="C83" s="248"/>
    </row>
    <row r="84" spans="1:4" s="39" customFormat="1" ht="12" customHeight="1" x14ac:dyDescent="0.2">
      <c r="A84" s="198" t="s">
        <v>261</v>
      </c>
      <c r="B84" s="181" t="s">
        <v>262</v>
      </c>
      <c r="C84" s="248"/>
    </row>
    <row r="85" spans="1:4" s="39" customFormat="1" ht="12" customHeight="1" x14ac:dyDescent="0.2">
      <c r="A85" s="198" t="s">
        <v>263</v>
      </c>
      <c r="B85" s="181" t="s">
        <v>264</v>
      </c>
      <c r="C85" s="248"/>
    </row>
    <row r="86" spans="1:4" s="38" customFormat="1" ht="12" customHeight="1" thickBot="1" x14ac:dyDescent="0.25">
      <c r="A86" s="199" t="s">
        <v>265</v>
      </c>
      <c r="B86" s="182" t="s">
        <v>266</v>
      </c>
      <c r="C86" s="248"/>
    </row>
    <row r="87" spans="1:4" s="38" customFormat="1" ht="12" customHeight="1" thickBot="1" x14ac:dyDescent="0.2">
      <c r="A87" s="196" t="s">
        <v>267</v>
      </c>
      <c r="B87" s="105" t="s">
        <v>395</v>
      </c>
      <c r="C87" s="260"/>
    </row>
    <row r="88" spans="1:4" s="38" customFormat="1" ht="12" customHeight="1" thickBot="1" x14ac:dyDescent="0.2">
      <c r="A88" s="196" t="s">
        <v>447</v>
      </c>
      <c r="B88" s="105" t="s">
        <v>268</v>
      </c>
      <c r="C88" s="260"/>
    </row>
    <row r="89" spans="1:4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3661507736</v>
      </c>
    </row>
    <row r="90" spans="1:4" s="38" customFormat="1" ht="12" customHeight="1" thickBot="1" x14ac:dyDescent="0.2">
      <c r="A90" s="200" t="s">
        <v>449</v>
      </c>
      <c r="B90" s="188" t="s">
        <v>450</v>
      </c>
      <c r="C90" s="259">
        <f>+C65+C89</f>
        <v>7083573015</v>
      </c>
      <c r="D90" s="33"/>
    </row>
    <row r="91" spans="1:4" s="32" customFormat="1" ht="16.5" customHeight="1" thickBot="1" x14ac:dyDescent="0.25">
      <c r="A91" s="1380" t="s">
        <v>53</v>
      </c>
      <c r="B91" s="1381"/>
      <c r="C91" s="1382"/>
    </row>
    <row r="92" spans="1:4" s="213" customFormat="1" ht="12" customHeight="1" thickBot="1" x14ac:dyDescent="0.25">
      <c r="A92" s="173" t="s">
        <v>16</v>
      </c>
      <c r="B92" s="23" t="s">
        <v>460</v>
      </c>
      <c r="C92" s="263">
        <f>+C93+C94+C95+C96+C97+C110</f>
        <v>920250251</v>
      </c>
    </row>
    <row r="93" spans="1:4" ht="12" customHeight="1" x14ac:dyDescent="0.2">
      <c r="A93" s="201" t="s">
        <v>85</v>
      </c>
      <c r="B93" s="7" t="s">
        <v>46</v>
      </c>
      <c r="C93" s="1298">
        <f>54633238+15752-100399-1110961-22379+4160417+200000-4385000</f>
        <v>53390668</v>
      </c>
    </row>
    <row r="94" spans="1:4" ht="12" customHeight="1" x14ac:dyDescent="0.2">
      <c r="A94" s="194" t="s">
        <v>86</v>
      </c>
      <c r="B94" s="5" t="s">
        <v>134</v>
      </c>
      <c r="C94" s="1296">
        <f>8055314-40892-154979+22379+567162+48000-514000</f>
        <v>7982984</v>
      </c>
    </row>
    <row r="95" spans="1:4" ht="12" customHeight="1" x14ac:dyDescent="0.2">
      <c r="A95" s="194" t="s">
        <v>87</v>
      </c>
      <c r="B95" s="5" t="s">
        <v>110</v>
      </c>
      <c r="C95" s="1141">
        <f>475468834-160000+5029221-26126750+4628986+43335886+44090+46038602+10154332+9047561-30562080</f>
        <v>536898682</v>
      </c>
    </row>
    <row r="96" spans="1:4" ht="12" customHeight="1" x14ac:dyDescent="0.2">
      <c r="A96" s="194" t="s">
        <v>88</v>
      </c>
      <c r="B96" s="8" t="s">
        <v>135</v>
      </c>
      <c r="C96" s="251">
        <f>43800000+1250000-7000000</f>
        <v>38050000</v>
      </c>
    </row>
    <row r="97" spans="1:3" ht="12" customHeight="1" x14ac:dyDescent="0.2">
      <c r="A97" s="194" t="s">
        <v>99</v>
      </c>
      <c r="B97" s="16" t="s">
        <v>136</v>
      </c>
      <c r="C97" s="1141">
        <f>SUM(C98:C109)</f>
        <v>178606116</v>
      </c>
    </row>
    <row r="98" spans="1:3" ht="12" customHeight="1" x14ac:dyDescent="0.2">
      <c r="A98" s="194" t="s">
        <v>89</v>
      </c>
      <c r="B98" s="5" t="s">
        <v>451</v>
      </c>
      <c r="C98" s="1141">
        <f>3966181+973615-973615+4738+807034</f>
        <v>4777953</v>
      </c>
    </row>
    <row r="99" spans="1:3" ht="12" customHeight="1" x14ac:dyDescent="0.2">
      <c r="A99" s="194" t="s">
        <v>90</v>
      </c>
      <c r="B99" s="58" t="s">
        <v>400</v>
      </c>
      <c r="C99" s="251">
        <v>5091319</v>
      </c>
    </row>
    <row r="100" spans="1:3" ht="12" customHeight="1" x14ac:dyDescent="0.2">
      <c r="A100" s="194" t="s">
        <v>100</v>
      </c>
      <c r="B100" s="58" t="s">
        <v>401</v>
      </c>
      <c r="C100" s="251"/>
    </row>
    <row r="101" spans="1:3" ht="12" customHeight="1" x14ac:dyDescent="0.2">
      <c r="A101" s="194" t="s">
        <v>101</v>
      </c>
      <c r="B101" s="58" t="s">
        <v>284</v>
      </c>
      <c r="C101" s="251"/>
    </row>
    <row r="102" spans="1:3" ht="12" customHeight="1" x14ac:dyDescent="0.2">
      <c r="A102" s="194" t="s">
        <v>102</v>
      </c>
      <c r="B102" s="59" t="s">
        <v>285</v>
      </c>
      <c r="C102" s="251"/>
    </row>
    <row r="103" spans="1:3" ht="12" customHeight="1" x14ac:dyDescent="0.2">
      <c r="A103" s="194" t="s">
        <v>103</v>
      </c>
      <c r="B103" s="59" t="s">
        <v>286</v>
      </c>
      <c r="C103" s="251"/>
    </row>
    <row r="104" spans="1:3" ht="12" customHeight="1" x14ac:dyDescent="0.2">
      <c r="A104" s="194" t="s">
        <v>105</v>
      </c>
      <c r="B104" s="58" t="s">
        <v>287</v>
      </c>
      <c r="C104" s="251">
        <f>636000+175125</f>
        <v>811125</v>
      </c>
    </row>
    <row r="105" spans="1:3" ht="12" customHeight="1" x14ac:dyDescent="0.2">
      <c r="A105" s="194" t="s">
        <v>137</v>
      </c>
      <c r="B105" s="58" t="s">
        <v>288</v>
      </c>
      <c r="C105" s="251"/>
    </row>
    <row r="106" spans="1:3" ht="12" customHeight="1" x14ac:dyDescent="0.2">
      <c r="A106" s="194" t="s">
        <v>282</v>
      </c>
      <c r="B106" s="59" t="s">
        <v>289</v>
      </c>
      <c r="C106" s="251"/>
    </row>
    <row r="107" spans="1:3" ht="12" customHeight="1" x14ac:dyDescent="0.2">
      <c r="A107" s="202" t="s">
        <v>283</v>
      </c>
      <c r="B107" s="60" t="s">
        <v>290</v>
      </c>
      <c r="C107" s="251"/>
    </row>
    <row r="108" spans="1:3" ht="12" customHeight="1" x14ac:dyDescent="0.2">
      <c r="A108" s="194" t="s">
        <v>402</v>
      </c>
      <c r="B108" s="60" t="s">
        <v>291</v>
      </c>
      <c r="C108" s="251"/>
    </row>
    <row r="109" spans="1:3" ht="12" customHeight="1" x14ac:dyDescent="0.2">
      <c r="A109" s="194" t="s">
        <v>403</v>
      </c>
      <c r="B109" s="59" t="s">
        <v>292</v>
      </c>
      <c r="C109" s="1296">
        <f>170106841+234570+341802-107232-4071620+1421358</f>
        <v>167925719</v>
      </c>
    </row>
    <row r="110" spans="1:3" ht="12" customHeight="1" x14ac:dyDescent="0.2">
      <c r="A110" s="194" t="s">
        <v>404</v>
      </c>
      <c r="B110" s="8" t="s">
        <v>47</v>
      </c>
      <c r="C110" s="248">
        <f>SUM(C111:C112)</f>
        <v>105321801</v>
      </c>
    </row>
    <row r="111" spans="1:3" ht="12" customHeight="1" x14ac:dyDescent="0.2">
      <c r="A111" s="195" t="s">
        <v>405</v>
      </c>
      <c r="B111" s="5" t="s">
        <v>452</v>
      </c>
      <c r="C111" s="1141">
        <f>10000000+2761613+2341692-1769228+5286934+3399263-4655454+23132920-39578708</f>
        <v>919032</v>
      </c>
    </row>
    <row r="112" spans="1:3" ht="12" customHeight="1" thickBot="1" x14ac:dyDescent="0.25">
      <c r="A112" s="203" t="s">
        <v>407</v>
      </c>
      <c r="B112" s="61" t="s">
        <v>453</v>
      </c>
      <c r="C112" s="1299">
        <f>120420513-108134-3989610-1920000-10000000</f>
        <v>104402769</v>
      </c>
    </row>
    <row r="113" spans="1:4" ht="12" customHeight="1" thickBot="1" x14ac:dyDescent="0.25">
      <c r="A113" s="25" t="s">
        <v>17</v>
      </c>
      <c r="B113" s="22" t="s">
        <v>293</v>
      </c>
      <c r="C113" s="257">
        <f>+C114+C116+C118</f>
        <v>3414628879</v>
      </c>
    </row>
    <row r="114" spans="1:4" ht="12" customHeight="1" x14ac:dyDescent="0.2">
      <c r="A114" s="193" t="s">
        <v>91</v>
      </c>
      <c r="B114" s="5" t="s">
        <v>157</v>
      </c>
      <c r="C114" s="1300">
        <f>652524568-30445-9533582+15221336+137228863+76216590-20000000+455756+4071620-3566000</f>
        <v>852588706</v>
      </c>
    </row>
    <row r="115" spans="1:4" ht="12" customHeight="1" x14ac:dyDescent="0.2">
      <c r="A115" s="193" t="s">
        <v>92</v>
      </c>
      <c r="B115" s="9" t="s">
        <v>297</v>
      </c>
      <c r="C115" s="677">
        <f>224124925+137436248+76216590+4071620</f>
        <v>441849383</v>
      </c>
    </row>
    <row r="116" spans="1:4" ht="12" customHeight="1" x14ac:dyDescent="0.2">
      <c r="A116" s="193" t="s">
        <v>93</v>
      </c>
      <c r="B116" s="9" t="s">
        <v>138</v>
      </c>
      <c r="C116" s="1296">
        <f>1885218597-8470273+588237-19331097+607385-44090+696799240-25113756+35228946-6350000</f>
        <v>2559133189</v>
      </c>
    </row>
    <row r="117" spans="1:4" ht="12" customHeight="1" x14ac:dyDescent="0.2">
      <c r="A117" s="193" t="s">
        <v>94</v>
      </c>
      <c r="B117" s="9" t="s">
        <v>298</v>
      </c>
      <c r="C117" s="248">
        <f>399460471+703784240+76736922</f>
        <v>1179981633</v>
      </c>
    </row>
    <row r="118" spans="1:4" ht="12" customHeight="1" x14ac:dyDescent="0.2">
      <c r="A118" s="193" t="s">
        <v>95</v>
      </c>
      <c r="B118" s="107" t="s">
        <v>159</v>
      </c>
      <c r="C118" s="248">
        <f>SUM(C119:C126)</f>
        <v>2906984</v>
      </c>
    </row>
    <row r="119" spans="1:4" ht="12" customHeight="1" x14ac:dyDescent="0.2">
      <c r="A119" s="193" t="s">
        <v>104</v>
      </c>
      <c r="B119" s="106" t="s">
        <v>358</v>
      </c>
      <c r="C119" s="248"/>
    </row>
    <row r="120" spans="1:4" ht="12" customHeight="1" x14ac:dyDescent="0.2">
      <c r="A120" s="193" t="s">
        <v>106</v>
      </c>
      <c r="B120" s="177" t="s">
        <v>303</v>
      </c>
      <c r="C120" s="248"/>
    </row>
    <row r="121" spans="1:4" ht="12" customHeight="1" x14ac:dyDescent="0.2">
      <c r="A121" s="193" t="s">
        <v>139</v>
      </c>
      <c r="B121" s="59" t="s">
        <v>286</v>
      </c>
      <c r="C121" s="248"/>
    </row>
    <row r="122" spans="1:4" ht="12" customHeight="1" x14ac:dyDescent="0.2">
      <c r="A122" s="193" t="s">
        <v>140</v>
      </c>
      <c r="B122" s="59" t="s">
        <v>302</v>
      </c>
      <c r="C122" s="248">
        <v>798660</v>
      </c>
    </row>
    <row r="123" spans="1:4" ht="12" customHeight="1" x14ac:dyDescent="0.2">
      <c r="A123" s="193" t="s">
        <v>141</v>
      </c>
      <c r="B123" s="59" t="s">
        <v>301</v>
      </c>
      <c r="C123" s="99"/>
    </row>
    <row r="124" spans="1:4" ht="12" customHeight="1" x14ac:dyDescent="0.2">
      <c r="A124" s="193" t="s">
        <v>294</v>
      </c>
      <c r="B124" s="59" t="s">
        <v>289</v>
      </c>
      <c r="C124" s="99"/>
    </row>
    <row r="125" spans="1:4" ht="12" customHeight="1" x14ac:dyDescent="0.2">
      <c r="A125" s="193" t="s">
        <v>295</v>
      </c>
      <c r="B125" s="59" t="s">
        <v>300</v>
      </c>
      <c r="C125" s="99"/>
    </row>
    <row r="126" spans="1:4" ht="12" customHeight="1" thickBot="1" x14ac:dyDescent="0.25">
      <c r="A126" s="202" t="s">
        <v>296</v>
      </c>
      <c r="B126" s="59" t="s">
        <v>299</v>
      </c>
      <c r="C126" s="1141">
        <f>1423277+107232+577815</f>
        <v>2108324</v>
      </c>
    </row>
    <row r="127" spans="1:4" ht="12" customHeight="1" thickBot="1" x14ac:dyDescent="0.25">
      <c r="A127" s="25" t="s">
        <v>18</v>
      </c>
      <c r="B127" s="54" t="s">
        <v>409</v>
      </c>
      <c r="C127" s="257">
        <f>+C92+C113</f>
        <v>4334879130</v>
      </c>
      <c r="D127" s="252"/>
    </row>
    <row r="128" spans="1:4" ht="12" customHeight="1" thickBot="1" x14ac:dyDescent="0.25">
      <c r="A128" s="25" t="s">
        <v>19</v>
      </c>
      <c r="B128" s="54" t="s">
        <v>410</v>
      </c>
      <c r="C128" s="257">
        <f>+C129+C130+C131</f>
        <v>1071060296</v>
      </c>
    </row>
    <row r="129" spans="1:9" s="213" customFormat="1" ht="12" customHeight="1" x14ac:dyDescent="0.2">
      <c r="A129" s="193" t="s">
        <v>195</v>
      </c>
      <c r="B129" s="6" t="s">
        <v>454</v>
      </c>
      <c r="C129" s="248">
        <v>21060296</v>
      </c>
    </row>
    <row r="130" spans="1:9" ht="12" customHeight="1" x14ac:dyDescent="0.2">
      <c r="A130" s="193" t="s">
        <v>198</v>
      </c>
      <c r="B130" s="6" t="s">
        <v>412</v>
      </c>
      <c r="C130" s="248">
        <f>1000000000+50000000</f>
        <v>1050000000</v>
      </c>
    </row>
    <row r="131" spans="1:9" ht="12" customHeight="1" thickBot="1" x14ac:dyDescent="0.25">
      <c r="A131" s="202" t="s">
        <v>199</v>
      </c>
      <c r="B131" s="4" t="s">
        <v>455</v>
      </c>
      <c r="C131" s="99"/>
    </row>
    <row r="132" spans="1:9" ht="12" customHeight="1" thickBot="1" x14ac:dyDescent="0.25">
      <c r="A132" s="25" t="s">
        <v>20</v>
      </c>
      <c r="B132" s="54" t="s">
        <v>414</v>
      </c>
      <c r="C132" s="257">
        <f>+C133+C134+C135+C136+C137+C138</f>
        <v>0</v>
      </c>
    </row>
    <row r="133" spans="1:9" ht="12" customHeight="1" x14ac:dyDescent="0.2">
      <c r="A133" s="193" t="s">
        <v>78</v>
      </c>
      <c r="B133" s="6" t="s">
        <v>415</v>
      </c>
      <c r="C133" s="99"/>
    </row>
    <row r="134" spans="1:9" ht="12" customHeight="1" x14ac:dyDescent="0.2">
      <c r="A134" s="193" t="s">
        <v>79</v>
      </c>
      <c r="B134" s="6" t="s">
        <v>416</v>
      </c>
      <c r="C134" s="99"/>
    </row>
    <row r="135" spans="1:9" ht="12" customHeight="1" x14ac:dyDescent="0.2">
      <c r="A135" s="193" t="s">
        <v>80</v>
      </c>
      <c r="B135" s="6" t="s">
        <v>417</v>
      </c>
      <c r="C135" s="99"/>
    </row>
    <row r="136" spans="1:9" ht="12" customHeight="1" x14ac:dyDescent="0.2">
      <c r="A136" s="193" t="s">
        <v>126</v>
      </c>
      <c r="B136" s="6" t="s">
        <v>456</v>
      </c>
      <c r="C136" s="99"/>
    </row>
    <row r="137" spans="1:9" ht="12" customHeight="1" x14ac:dyDescent="0.2">
      <c r="A137" s="193" t="s">
        <v>127</v>
      </c>
      <c r="B137" s="6" t="s">
        <v>419</v>
      </c>
      <c r="C137" s="99"/>
    </row>
    <row r="138" spans="1:9" s="213" customFormat="1" ht="12" customHeight="1" thickBot="1" x14ac:dyDescent="0.25">
      <c r="A138" s="202" t="s">
        <v>128</v>
      </c>
      <c r="B138" s="4" t="s">
        <v>420</v>
      </c>
      <c r="C138" s="99"/>
    </row>
    <row r="139" spans="1:9" ht="12" customHeight="1" thickBot="1" x14ac:dyDescent="0.25">
      <c r="A139" s="25" t="s">
        <v>21</v>
      </c>
      <c r="B139" s="54" t="s">
        <v>457</v>
      </c>
      <c r="C139" s="259">
        <f>+C140+C141+C142+C143</f>
        <v>55076107</v>
      </c>
      <c r="I139" s="98"/>
    </row>
    <row r="140" spans="1:9" x14ac:dyDescent="0.2">
      <c r="A140" s="193" t="s">
        <v>81</v>
      </c>
      <c r="B140" s="6" t="s">
        <v>304</v>
      </c>
      <c r="C140" s="99"/>
    </row>
    <row r="141" spans="1:9" ht="12" customHeight="1" x14ac:dyDescent="0.2">
      <c r="A141" s="193" t="s">
        <v>82</v>
      </c>
      <c r="B141" s="6" t="s">
        <v>305</v>
      </c>
      <c r="C141" s="99">
        <v>55076107</v>
      </c>
    </row>
    <row r="142" spans="1:9" s="213" customFormat="1" ht="12" customHeight="1" x14ac:dyDescent="0.2">
      <c r="A142" s="193" t="s">
        <v>218</v>
      </c>
      <c r="B142" s="6" t="s">
        <v>422</v>
      </c>
      <c r="C142" s="99"/>
    </row>
    <row r="143" spans="1:9" s="213" customFormat="1" ht="12" customHeight="1" thickBot="1" x14ac:dyDescent="0.25">
      <c r="A143" s="202" t="s">
        <v>219</v>
      </c>
      <c r="B143" s="4" t="s">
        <v>323</v>
      </c>
      <c r="C143" s="99"/>
    </row>
    <row r="144" spans="1:9" s="213" customFormat="1" ht="12" customHeight="1" thickBot="1" x14ac:dyDescent="0.25">
      <c r="A144" s="25" t="s">
        <v>22</v>
      </c>
      <c r="B144" s="54" t="s">
        <v>423</v>
      </c>
      <c r="C144" s="264">
        <f>+C145+C146+C147+C148+C149</f>
        <v>0</v>
      </c>
    </row>
    <row r="145" spans="1:4" s="213" customFormat="1" ht="12" customHeight="1" x14ac:dyDescent="0.2">
      <c r="A145" s="193" t="s">
        <v>83</v>
      </c>
      <c r="B145" s="6" t="s">
        <v>424</v>
      </c>
      <c r="C145" s="99"/>
    </row>
    <row r="146" spans="1:4" s="213" customFormat="1" ht="12" customHeight="1" x14ac:dyDescent="0.2">
      <c r="A146" s="193" t="s">
        <v>84</v>
      </c>
      <c r="B146" s="6" t="s">
        <v>425</v>
      </c>
      <c r="C146" s="99"/>
    </row>
    <row r="147" spans="1:4" s="213" customFormat="1" ht="12" customHeight="1" x14ac:dyDescent="0.2">
      <c r="A147" s="193" t="s">
        <v>230</v>
      </c>
      <c r="B147" s="6" t="s">
        <v>426</v>
      </c>
      <c r="C147" s="99"/>
    </row>
    <row r="148" spans="1:4" ht="12.75" customHeight="1" x14ac:dyDescent="0.2">
      <c r="A148" s="193" t="s">
        <v>231</v>
      </c>
      <c r="B148" s="6" t="s">
        <v>458</v>
      </c>
      <c r="C148" s="99"/>
    </row>
    <row r="149" spans="1:4" ht="12.75" customHeight="1" thickBot="1" x14ac:dyDescent="0.25">
      <c r="A149" s="202" t="s">
        <v>428</v>
      </c>
      <c r="B149" s="4" t="s">
        <v>429</v>
      </c>
      <c r="C149" s="100"/>
    </row>
    <row r="150" spans="1:4" ht="12.75" customHeight="1" thickBot="1" x14ac:dyDescent="0.25">
      <c r="A150" s="246" t="s">
        <v>23</v>
      </c>
      <c r="B150" s="54" t="s">
        <v>430</v>
      </c>
      <c r="C150" s="264"/>
    </row>
    <row r="151" spans="1:4" ht="12" customHeight="1" thickBot="1" x14ac:dyDescent="0.25">
      <c r="A151" s="246" t="s">
        <v>24</v>
      </c>
      <c r="B151" s="54" t="s">
        <v>431</v>
      </c>
      <c r="C151" s="264"/>
    </row>
    <row r="152" spans="1:4" ht="15" customHeight="1" thickBot="1" x14ac:dyDescent="0.25">
      <c r="A152" s="25" t="s">
        <v>25</v>
      </c>
      <c r="B152" s="54" t="s">
        <v>432</v>
      </c>
      <c r="C152" s="265">
        <f>+C128+C132+C139+C144+C150+C151</f>
        <v>1126136403</v>
      </c>
    </row>
    <row r="153" spans="1:4" ht="13.5" thickBot="1" x14ac:dyDescent="0.25">
      <c r="A153" s="204" t="s">
        <v>26</v>
      </c>
      <c r="B153" s="166" t="s">
        <v>433</v>
      </c>
      <c r="C153" s="265">
        <f>+C127+C152</f>
        <v>5461015533</v>
      </c>
      <c r="D153" s="31"/>
    </row>
    <row r="154" spans="1:4" ht="14.25" customHeight="1" thickBot="1" x14ac:dyDescent="0.25">
      <c r="A154" s="95" t="s">
        <v>459</v>
      </c>
      <c r="B154" s="96"/>
      <c r="C154" s="996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9" max="16383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zoomScale="115" zoomScaleNormal="115" zoomScaleSheetLayoutView="85" workbookViewId="0">
      <selection activeCell="F9" sqref="F9"/>
    </sheetView>
  </sheetViews>
  <sheetFormatPr defaultRowHeight="12.75" x14ac:dyDescent="0.2"/>
  <cols>
    <col min="1" max="1" width="19.5" style="326" customWidth="1"/>
    <col min="2" max="2" width="72" style="327" customWidth="1"/>
    <col min="3" max="3" width="25" style="163" customWidth="1"/>
    <col min="4" max="4" width="13.33203125" style="304" customWidth="1"/>
    <col min="5" max="5" width="16.1640625" style="304" customWidth="1"/>
    <col min="6" max="16384" width="9.33203125" style="304"/>
  </cols>
  <sheetData>
    <row r="1" spans="1:5" x14ac:dyDescent="0.2">
      <c r="A1" s="1375" t="str">
        <f>CONCATENATE("12. melléklet"," ",ALAPADATOK!A7," ",ALAPADATOK!B7," ",ALAPADATOK!C7," ",ALAPADATOK!D8," ",ALAPADATOK!E7," ",ALAPADATOK!F7," ",ALAPADATOK!G7," ",ALAPADATOK!H7)</f>
        <v>12. melléklet az 5 / 2023. ( II.24. ) önkormányzati rendelethez</v>
      </c>
      <c r="B1" s="1375"/>
      <c r="C1" s="1375"/>
    </row>
    <row r="2" spans="1:5" s="1" customFormat="1" ht="16.5" customHeight="1" x14ac:dyDescent="0.2">
      <c r="A2" s="75"/>
      <c r="B2" s="76"/>
      <c r="C2" s="97"/>
    </row>
    <row r="3" spans="1:5" s="37" customFormat="1" ht="21" customHeight="1" thickBot="1" x14ac:dyDescent="0.25">
      <c r="A3" s="1335" t="s">
        <v>897</v>
      </c>
      <c r="B3" s="1335"/>
      <c r="C3" s="1335"/>
    </row>
    <row r="4" spans="1:5" ht="13.5" thickBot="1" x14ac:dyDescent="0.25">
      <c r="A4" s="172" t="s">
        <v>153</v>
      </c>
      <c r="B4" s="79" t="s">
        <v>50</v>
      </c>
      <c r="C4" s="154" t="s">
        <v>895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1"/>
      <c r="B6" s="82" t="s">
        <v>52</v>
      </c>
      <c r="C6" s="155"/>
    </row>
    <row r="7" spans="1:5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395209158</v>
      </c>
      <c r="D7" s="645"/>
      <c r="E7" s="640"/>
    </row>
    <row r="8" spans="1:5" s="38" customFormat="1" ht="12" customHeight="1" x14ac:dyDescent="0.2">
      <c r="A8" s="193" t="s">
        <v>85</v>
      </c>
      <c r="B8" s="180" t="s">
        <v>180</v>
      </c>
      <c r="C8" s="214"/>
      <c r="D8" s="645"/>
      <c r="E8" s="640"/>
    </row>
    <row r="9" spans="1:5" s="39" customFormat="1" ht="12" customHeight="1" x14ac:dyDescent="0.2">
      <c r="A9" s="194" t="s">
        <v>86</v>
      </c>
      <c r="B9" s="181" t="s">
        <v>181</v>
      </c>
      <c r="C9" s="114"/>
      <c r="D9" s="645"/>
      <c r="E9" s="640"/>
    </row>
    <row r="10" spans="1:5" s="39" customFormat="1" ht="12" customHeight="1" x14ac:dyDescent="0.2">
      <c r="A10" s="194" t="s">
        <v>87</v>
      </c>
      <c r="B10" s="181" t="s">
        <v>719</v>
      </c>
      <c r="C10" s="114">
        <f>SUM(C11:C12)</f>
        <v>395209158</v>
      </c>
      <c r="D10" s="645"/>
      <c r="E10" s="640"/>
    </row>
    <row r="11" spans="1:5" s="39" customFormat="1" ht="12" customHeight="1" x14ac:dyDescent="0.2">
      <c r="A11" s="194" t="s">
        <v>717</v>
      </c>
      <c r="B11" s="181" t="s">
        <v>720</v>
      </c>
      <c r="C11" s="1295">
        <f>372765129+15394000+17106000-10055971</f>
        <v>395209158</v>
      </c>
      <c r="D11" s="645"/>
      <c r="E11" s="640"/>
    </row>
    <row r="12" spans="1:5" s="39" customFormat="1" ht="12" customHeight="1" x14ac:dyDescent="0.2">
      <c r="A12" s="194" t="s">
        <v>718</v>
      </c>
      <c r="B12" s="181" t="s">
        <v>721</v>
      </c>
      <c r="C12" s="114"/>
      <c r="D12" s="645"/>
      <c r="E12" s="640"/>
    </row>
    <row r="13" spans="1:5" s="39" customFormat="1" ht="12" customHeight="1" x14ac:dyDescent="0.2">
      <c r="A13" s="194" t="s">
        <v>88</v>
      </c>
      <c r="B13" s="181" t="s">
        <v>183</v>
      </c>
      <c r="C13" s="114"/>
      <c r="D13" s="645"/>
      <c r="E13" s="640"/>
    </row>
    <row r="14" spans="1:5" s="39" customFormat="1" ht="12" customHeight="1" x14ac:dyDescent="0.2">
      <c r="A14" s="194" t="s">
        <v>111</v>
      </c>
      <c r="B14" s="181" t="s">
        <v>446</v>
      </c>
      <c r="C14" s="114"/>
      <c r="D14" s="645"/>
      <c r="E14" s="640"/>
    </row>
    <row r="15" spans="1:5" s="38" customFormat="1" ht="12" customHeight="1" thickBot="1" x14ac:dyDescent="0.25">
      <c r="A15" s="195" t="s">
        <v>89</v>
      </c>
      <c r="B15" s="182" t="s">
        <v>389</v>
      </c>
      <c r="C15" s="99"/>
      <c r="D15" s="645"/>
      <c r="E15" s="640"/>
    </row>
    <row r="16" spans="1:5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210268940</v>
      </c>
      <c r="D16" s="645"/>
      <c r="E16" s="640"/>
    </row>
    <row r="17" spans="1:5" s="38" customFormat="1" ht="12" customHeight="1" x14ac:dyDescent="0.2">
      <c r="A17" s="193" t="s">
        <v>91</v>
      </c>
      <c r="B17" s="180" t="s">
        <v>185</v>
      </c>
      <c r="C17" s="258"/>
      <c r="D17" s="645"/>
      <c r="E17" s="640"/>
    </row>
    <row r="18" spans="1:5" s="38" customFormat="1" ht="12" customHeight="1" x14ac:dyDescent="0.2">
      <c r="A18" s="194" t="s">
        <v>92</v>
      </c>
      <c r="B18" s="181" t="s">
        <v>186</v>
      </c>
      <c r="C18" s="99"/>
      <c r="D18" s="645"/>
      <c r="E18" s="640"/>
    </row>
    <row r="19" spans="1:5" s="38" customFormat="1" ht="12" customHeight="1" x14ac:dyDescent="0.2">
      <c r="A19" s="194" t="s">
        <v>93</v>
      </c>
      <c r="B19" s="181" t="s">
        <v>352</v>
      </c>
      <c r="C19" s="99"/>
      <c r="D19" s="645"/>
      <c r="E19" s="640"/>
    </row>
    <row r="20" spans="1:5" s="38" customFormat="1" ht="12" customHeight="1" x14ac:dyDescent="0.2">
      <c r="A20" s="194" t="s">
        <v>94</v>
      </c>
      <c r="B20" s="181" t="s">
        <v>353</v>
      </c>
      <c r="C20" s="99"/>
      <c r="D20" s="645"/>
      <c r="E20" s="640"/>
    </row>
    <row r="21" spans="1:5" s="38" customFormat="1" ht="12" customHeight="1" x14ac:dyDescent="0.2">
      <c r="A21" s="194" t="s">
        <v>95</v>
      </c>
      <c r="B21" s="181" t="s">
        <v>187</v>
      </c>
      <c r="C21" s="248">
        <f>126028453+5000000+46710000+958699+31571788</f>
        <v>210268940</v>
      </c>
      <c r="D21" s="645"/>
      <c r="E21" s="640"/>
    </row>
    <row r="22" spans="1:5" s="39" customFormat="1" ht="12" customHeight="1" thickBot="1" x14ac:dyDescent="0.25">
      <c r="A22" s="195" t="s">
        <v>104</v>
      </c>
      <c r="B22" s="182" t="s">
        <v>188</v>
      </c>
      <c r="C22" s="251"/>
      <c r="D22" s="645"/>
      <c r="E22" s="640"/>
    </row>
    <row r="23" spans="1:5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4290000</v>
      </c>
      <c r="D23" s="645"/>
      <c r="E23" s="640"/>
    </row>
    <row r="24" spans="1:5" s="39" customFormat="1" ht="12" customHeight="1" x14ac:dyDescent="0.2">
      <c r="A24" s="193" t="s">
        <v>74</v>
      </c>
      <c r="B24" s="180" t="s">
        <v>190</v>
      </c>
      <c r="C24" s="677"/>
      <c r="D24" s="645"/>
      <c r="E24" s="640"/>
    </row>
    <row r="25" spans="1:5" s="38" customFormat="1" ht="12" customHeight="1" x14ac:dyDescent="0.2">
      <c r="A25" s="194" t="s">
        <v>75</v>
      </c>
      <c r="B25" s="181" t="s">
        <v>191</v>
      </c>
      <c r="C25" s="248"/>
      <c r="D25" s="645"/>
      <c r="E25" s="640"/>
    </row>
    <row r="26" spans="1:5" s="39" customFormat="1" ht="12" customHeight="1" x14ac:dyDescent="0.2">
      <c r="A26" s="194" t="s">
        <v>76</v>
      </c>
      <c r="B26" s="181" t="s">
        <v>354</v>
      </c>
      <c r="C26" s="248"/>
      <c r="D26" s="645"/>
      <c r="E26" s="640"/>
    </row>
    <row r="27" spans="1:5" s="39" customFormat="1" ht="12" customHeight="1" x14ac:dyDescent="0.2">
      <c r="A27" s="194" t="s">
        <v>77</v>
      </c>
      <c r="B27" s="181" t="s">
        <v>355</v>
      </c>
      <c r="C27" s="248"/>
      <c r="D27" s="645"/>
      <c r="E27" s="640"/>
    </row>
    <row r="28" spans="1:5" s="39" customFormat="1" ht="12" customHeight="1" x14ac:dyDescent="0.2">
      <c r="A28" s="194" t="s">
        <v>122</v>
      </c>
      <c r="B28" s="181" t="s">
        <v>192</v>
      </c>
      <c r="C28" s="248">
        <v>4290000</v>
      </c>
      <c r="D28" s="645"/>
      <c r="E28" s="640"/>
    </row>
    <row r="29" spans="1:5" s="39" customFormat="1" ht="12" customHeight="1" thickBot="1" x14ac:dyDescent="0.25">
      <c r="A29" s="195" t="s">
        <v>123</v>
      </c>
      <c r="B29" s="182" t="s">
        <v>193</v>
      </c>
      <c r="C29" s="251"/>
      <c r="D29" s="645"/>
      <c r="E29" s="640"/>
    </row>
    <row r="30" spans="1:5" s="39" customFormat="1" ht="12" customHeight="1" thickBot="1" x14ac:dyDescent="0.25">
      <c r="A30" s="25" t="s">
        <v>124</v>
      </c>
      <c r="B30" s="18" t="s">
        <v>194</v>
      </c>
      <c r="C30" s="259">
        <f>+C31++C35+C36</f>
        <v>0</v>
      </c>
      <c r="D30" s="645"/>
      <c r="E30" s="640"/>
    </row>
    <row r="31" spans="1:5" s="39" customFormat="1" ht="12" customHeight="1" x14ac:dyDescent="0.2">
      <c r="A31" s="193" t="s">
        <v>195</v>
      </c>
      <c r="B31" s="180" t="s">
        <v>562</v>
      </c>
      <c r="C31" s="271">
        <f>SUM(C32:C33)</f>
        <v>0</v>
      </c>
      <c r="D31" s="645"/>
      <c r="E31" s="640"/>
    </row>
    <row r="32" spans="1:5" s="39" customFormat="1" ht="12" customHeight="1" x14ac:dyDescent="0.2">
      <c r="A32" s="194" t="s">
        <v>196</v>
      </c>
      <c r="B32" s="181" t="s">
        <v>201</v>
      </c>
      <c r="C32" s="99"/>
      <c r="D32" s="645"/>
      <c r="E32" s="640"/>
    </row>
    <row r="33" spans="1:5" s="39" customFormat="1" ht="12" customHeight="1" x14ac:dyDescent="0.2">
      <c r="A33" s="194" t="s">
        <v>197</v>
      </c>
      <c r="B33" s="234" t="s">
        <v>561</v>
      </c>
      <c r="C33" s="99"/>
      <c r="D33" s="645"/>
      <c r="E33" s="640"/>
    </row>
    <row r="34" spans="1:5" s="39" customFormat="1" ht="12" customHeight="1" x14ac:dyDescent="0.2">
      <c r="A34" s="194" t="s">
        <v>198</v>
      </c>
      <c r="B34" s="181" t="s">
        <v>472</v>
      </c>
      <c r="C34" s="248"/>
      <c r="D34" s="645"/>
      <c r="E34" s="640"/>
    </row>
    <row r="35" spans="1:5" s="39" customFormat="1" ht="12" customHeight="1" x14ac:dyDescent="0.2">
      <c r="A35" s="194" t="s">
        <v>199</v>
      </c>
      <c r="B35" s="181" t="s">
        <v>203</v>
      </c>
      <c r="C35" s="99"/>
      <c r="D35" s="645"/>
      <c r="E35" s="640"/>
    </row>
    <row r="36" spans="1:5" s="39" customFormat="1" ht="12" customHeight="1" thickBot="1" x14ac:dyDescent="0.25">
      <c r="A36" s="195" t="s">
        <v>200</v>
      </c>
      <c r="B36" s="182" t="s">
        <v>204</v>
      </c>
      <c r="C36" s="251"/>
      <c r="D36" s="645"/>
      <c r="E36" s="640"/>
    </row>
    <row r="37" spans="1:5" s="39" customFormat="1" ht="12" customHeight="1" thickBot="1" x14ac:dyDescent="0.25">
      <c r="A37" s="25" t="s">
        <v>20</v>
      </c>
      <c r="B37" s="18" t="s">
        <v>390</v>
      </c>
      <c r="C37" s="257">
        <f>SUM(C38:C48)</f>
        <v>21820900</v>
      </c>
      <c r="D37" s="645"/>
      <c r="E37" s="640"/>
    </row>
    <row r="38" spans="1:5" s="39" customFormat="1" ht="12" customHeight="1" x14ac:dyDescent="0.2">
      <c r="A38" s="193" t="s">
        <v>78</v>
      </c>
      <c r="B38" s="180" t="s">
        <v>207</v>
      </c>
      <c r="C38" s="677"/>
      <c r="D38" s="645"/>
      <c r="E38" s="640"/>
    </row>
    <row r="39" spans="1:5" s="39" customFormat="1" ht="12" customHeight="1" x14ac:dyDescent="0.2">
      <c r="A39" s="194" t="s">
        <v>79</v>
      </c>
      <c r="B39" s="181" t="s">
        <v>208</v>
      </c>
      <c r="C39" s="248">
        <v>1781102</v>
      </c>
      <c r="D39" s="645"/>
      <c r="E39" s="640"/>
    </row>
    <row r="40" spans="1:5" s="39" customFormat="1" ht="12" customHeight="1" x14ac:dyDescent="0.2">
      <c r="A40" s="194" t="s">
        <v>80</v>
      </c>
      <c r="B40" s="181" t="s">
        <v>209</v>
      </c>
      <c r="C40" s="248"/>
      <c r="D40" s="645"/>
      <c r="E40" s="640"/>
    </row>
    <row r="41" spans="1:5" s="39" customFormat="1" ht="12" customHeight="1" x14ac:dyDescent="0.2">
      <c r="A41" s="194" t="s">
        <v>126</v>
      </c>
      <c r="B41" s="181" t="s">
        <v>210</v>
      </c>
      <c r="C41" s="248"/>
      <c r="D41" s="645"/>
      <c r="E41" s="640"/>
    </row>
    <row r="42" spans="1:5" s="39" customFormat="1" ht="12" customHeight="1" x14ac:dyDescent="0.2">
      <c r="A42" s="194" t="s">
        <v>127</v>
      </c>
      <c r="B42" s="181" t="s">
        <v>211</v>
      </c>
      <c r="C42" s="248"/>
      <c r="D42" s="645"/>
      <c r="E42" s="640"/>
    </row>
    <row r="43" spans="1:5" s="39" customFormat="1" ht="12" customHeight="1" x14ac:dyDescent="0.2">
      <c r="A43" s="194" t="s">
        <v>128</v>
      </c>
      <c r="B43" s="181" t="s">
        <v>212</v>
      </c>
      <c r="C43" s="248">
        <v>480898</v>
      </c>
      <c r="D43" s="645"/>
      <c r="E43" s="640"/>
    </row>
    <row r="44" spans="1:5" s="39" customFormat="1" ht="12" customHeight="1" x14ac:dyDescent="0.2">
      <c r="A44" s="194" t="s">
        <v>129</v>
      </c>
      <c r="B44" s="181" t="s">
        <v>213</v>
      </c>
      <c r="C44" s="248">
        <v>19458900</v>
      </c>
      <c r="D44" s="645"/>
      <c r="E44" s="640"/>
    </row>
    <row r="45" spans="1:5" s="39" customFormat="1" ht="12" customHeight="1" x14ac:dyDescent="0.2">
      <c r="A45" s="194" t="s">
        <v>130</v>
      </c>
      <c r="B45" s="181" t="s">
        <v>214</v>
      </c>
      <c r="C45" s="248"/>
      <c r="D45" s="645"/>
      <c r="E45" s="640"/>
    </row>
    <row r="46" spans="1:5" s="39" customFormat="1" ht="12" customHeight="1" x14ac:dyDescent="0.2">
      <c r="A46" s="194" t="s">
        <v>205</v>
      </c>
      <c r="B46" s="181" t="s">
        <v>215</v>
      </c>
      <c r="C46" s="248"/>
      <c r="D46" s="645"/>
      <c r="E46" s="640"/>
    </row>
    <row r="47" spans="1:5" s="39" customFormat="1" ht="12" customHeight="1" x14ac:dyDescent="0.2">
      <c r="A47" s="195" t="s">
        <v>206</v>
      </c>
      <c r="B47" s="182" t="s">
        <v>391</v>
      </c>
      <c r="C47" s="251"/>
      <c r="D47" s="645"/>
      <c r="E47" s="640"/>
    </row>
    <row r="48" spans="1:5" s="39" customFormat="1" ht="12" customHeight="1" thickBot="1" x14ac:dyDescent="0.25">
      <c r="A48" s="195" t="s">
        <v>392</v>
      </c>
      <c r="B48" s="182" t="s">
        <v>216</v>
      </c>
      <c r="C48" s="251">
        <v>100000</v>
      </c>
      <c r="D48" s="645"/>
      <c r="E48" s="640"/>
    </row>
    <row r="49" spans="1:5" s="39" customFormat="1" ht="12" customHeight="1" thickBot="1" x14ac:dyDescent="0.25">
      <c r="A49" s="25" t="s">
        <v>21</v>
      </c>
      <c r="B49" s="18" t="s">
        <v>217</v>
      </c>
      <c r="C49" s="257">
        <f>SUM(C50:C54)</f>
        <v>0</v>
      </c>
      <c r="D49" s="645"/>
      <c r="E49" s="640"/>
    </row>
    <row r="50" spans="1:5" s="39" customFormat="1" ht="12" customHeight="1" x14ac:dyDescent="0.2">
      <c r="A50" s="193" t="s">
        <v>81</v>
      </c>
      <c r="B50" s="180" t="s">
        <v>221</v>
      </c>
      <c r="C50" s="677"/>
      <c r="D50" s="645"/>
      <c r="E50" s="640"/>
    </row>
    <row r="51" spans="1:5" s="39" customFormat="1" ht="12" customHeight="1" x14ac:dyDescent="0.2">
      <c r="A51" s="194" t="s">
        <v>82</v>
      </c>
      <c r="B51" s="181" t="s">
        <v>222</v>
      </c>
      <c r="C51" s="248"/>
      <c r="D51" s="645"/>
      <c r="E51" s="640"/>
    </row>
    <row r="52" spans="1:5" s="39" customFormat="1" ht="12" customHeight="1" x14ac:dyDescent="0.2">
      <c r="A52" s="194" t="s">
        <v>218</v>
      </c>
      <c r="B52" s="181" t="s">
        <v>223</v>
      </c>
      <c r="C52" s="248"/>
      <c r="D52" s="645"/>
      <c r="E52" s="640"/>
    </row>
    <row r="53" spans="1:5" s="39" customFormat="1" ht="12" customHeight="1" x14ac:dyDescent="0.2">
      <c r="A53" s="194" t="s">
        <v>219</v>
      </c>
      <c r="B53" s="181" t="s">
        <v>224</v>
      </c>
      <c r="C53" s="248"/>
      <c r="D53" s="645"/>
      <c r="E53" s="640"/>
    </row>
    <row r="54" spans="1:5" s="39" customFormat="1" ht="12" customHeight="1" thickBot="1" x14ac:dyDescent="0.25">
      <c r="A54" s="195" t="s">
        <v>220</v>
      </c>
      <c r="B54" s="182" t="s">
        <v>225</v>
      </c>
      <c r="C54" s="251"/>
      <c r="D54" s="645"/>
      <c r="E54" s="640"/>
    </row>
    <row r="55" spans="1:5" s="39" customFormat="1" ht="12" customHeight="1" thickBot="1" x14ac:dyDescent="0.25">
      <c r="A55" s="25" t="s">
        <v>131</v>
      </c>
      <c r="B55" s="18" t="s">
        <v>226</v>
      </c>
      <c r="C55" s="257">
        <f>SUM(C56:C58)</f>
        <v>200000</v>
      </c>
      <c r="D55" s="645"/>
      <c r="E55" s="640"/>
    </row>
    <row r="56" spans="1:5" s="39" customFormat="1" ht="12" customHeight="1" x14ac:dyDescent="0.2">
      <c r="A56" s="193" t="s">
        <v>83</v>
      </c>
      <c r="B56" s="180" t="s">
        <v>227</v>
      </c>
      <c r="C56" s="258"/>
      <c r="D56" s="645"/>
      <c r="E56" s="640"/>
    </row>
    <row r="57" spans="1:5" s="39" customFormat="1" ht="12" customHeight="1" x14ac:dyDescent="0.2">
      <c r="A57" s="194" t="s">
        <v>84</v>
      </c>
      <c r="B57" s="181" t="s">
        <v>356</v>
      </c>
      <c r="C57" s="248">
        <v>200000</v>
      </c>
      <c r="D57" s="645"/>
      <c r="E57" s="640"/>
    </row>
    <row r="58" spans="1:5" s="39" customFormat="1" ht="12" customHeight="1" x14ac:dyDescent="0.2">
      <c r="A58" s="194" t="s">
        <v>230</v>
      </c>
      <c r="B58" s="181" t="s">
        <v>228</v>
      </c>
      <c r="C58" s="248"/>
      <c r="D58" s="645"/>
      <c r="E58" s="640"/>
    </row>
    <row r="59" spans="1:5" s="39" customFormat="1" ht="12" customHeight="1" thickBot="1" x14ac:dyDescent="0.25">
      <c r="A59" s="195" t="s">
        <v>231</v>
      </c>
      <c r="B59" s="182" t="s">
        <v>229</v>
      </c>
      <c r="C59" s="100"/>
      <c r="D59" s="645"/>
      <c r="E59" s="640"/>
    </row>
    <row r="60" spans="1:5" s="39" customFormat="1" ht="12" customHeight="1" thickBot="1" x14ac:dyDescent="0.25">
      <c r="A60" s="25" t="s">
        <v>23</v>
      </c>
      <c r="B60" s="105" t="s">
        <v>232</v>
      </c>
      <c r="C60" s="257">
        <f>SUM(C61:C63)</f>
        <v>0</v>
      </c>
      <c r="D60" s="645"/>
      <c r="E60" s="640"/>
    </row>
    <row r="61" spans="1:5" s="39" customFormat="1" ht="12" customHeight="1" x14ac:dyDescent="0.2">
      <c r="A61" s="193" t="s">
        <v>132</v>
      </c>
      <c r="B61" s="180" t="s">
        <v>234</v>
      </c>
      <c r="C61" s="248"/>
      <c r="D61" s="645"/>
      <c r="E61" s="640"/>
    </row>
    <row r="62" spans="1:5" s="39" customFormat="1" ht="12" customHeight="1" x14ac:dyDescent="0.2">
      <c r="A62" s="194" t="s">
        <v>133</v>
      </c>
      <c r="B62" s="181" t="s">
        <v>357</v>
      </c>
      <c r="C62" s="248"/>
      <c r="D62" s="645"/>
      <c r="E62" s="640"/>
    </row>
    <row r="63" spans="1:5" s="39" customFormat="1" ht="12" customHeight="1" x14ac:dyDescent="0.2">
      <c r="A63" s="194" t="s">
        <v>158</v>
      </c>
      <c r="B63" s="181" t="s">
        <v>235</v>
      </c>
      <c r="C63" s="248"/>
      <c r="D63" s="645"/>
      <c r="E63" s="640"/>
    </row>
    <row r="64" spans="1:5" s="39" customFormat="1" ht="12" customHeight="1" thickBot="1" x14ac:dyDescent="0.25">
      <c r="A64" s="195" t="s">
        <v>233</v>
      </c>
      <c r="B64" s="182" t="s">
        <v>236</v>
      </c>
      <c r="C64" s="248"/>
      <c r="D64" s="645"/>
      <c r="E64" s="640"/>
    </row>
    <row r="65" spans="1:5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631788998</v>
      </c>
      <c r="D65" s="645"/>
      <c r="E65" s="640"/>
    </row>
    <row r="66" spans="1:5" s="39" customFormat="1" ht="12" customHeight="1" thickBot="1" x14ac:dyDescent="0.2">
      <c r="A66" s="196" t="s">
        <v>327</v>
      </c>
      <c r="B66" s="105" t="s">
        <v>239</v>
      </c>
      <c r="C66" s="257">
        <f>SUM(C67:C69)</f>
        <v>0</v>
      </c>
      <c r="D66" s="645"/>
      <c r="E66" s="640"/>
    </row>
    <row r="67" spans="1:5" s="39" customFormat="1" ht="12" customHeight="1" x14ac:dyDescent="0.2">
      <c r="A67" s="193" t="s">
        <v>270</v>
      </c>
      <c r="B67" s="180" t="s">
        <v>240</v>
      </c>
      <c r="C67" s="248"/>
      <c r="D67" s="645"/>
      <c r="E67" s="640"/>
    </row>
    <row r="68" spans="1:5" s="39" customFormat="1" ht="12" customHeight="1" x14ac:dyDescent="0.2">
      <c r="A68" s="194" t="s">
        <v>279</v>
      </c>
      <c r="B68" s="181" t="s">
        <v>241</v>
      </c>
      <c r="C68" s="248"/>
      <c r="D68" s="645"/>
      <c r="E68" s="640"/>
    </row>
    <row r="69" spans="1:5" s="39" customFormat="1" ht="12" customHeight="1" thickBot="1" x14ac:dyDescent="0.25">
      <c r="A69" s="195" t="s">
        <v>280</v>
      </c>
      <c r="B69" s="183" t="s">
        <v>242</v>
      </c>
      <c r="C69" s="248"/>
      <c r="D69" s="645"/>
      <c r="E69" s="640"/>
    </row>
    <row r="70" spans="1:5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  <c r="D70" s="645"/>
      <c r="E70" s="640"/>
    </row>
    <row r="71" spans="1:5" s="39" customFormat="1" ht="12" customHeight="1" x14ac:dyDescent="0.2">
      <c r="A71" s="193" t="s">
        <v>112</v>
      </c>
      <c r="B71" s="180" t="s">
        <v>245</v>
      </c>
      <c r="C71" s="248"/>
      <c r="D71" s="645"/>
      <c r="E71" s="640"/>
    </row>
    <row r="72" spans="1:5" s="39" customFormat="1" ht="12" customHeight="1" x14ac:dyDescent="0.2">
      <c r="A72" s="194" t="s">
        <v>113</v>
      </c>
      <c r="B72" s="181" t="s">
        <v>246</v>
      </c>
      <c r="C72" s="248"/>
      <c r="D72" s="645"/>
      <c r="E72" s="640"/>
    </row>
    <row r="73" spans="1:5" s="39" customFormat="1" ht="12" customHeight="1" x14ac:dyDescent="0.2">
      <c r="A73" s="194" t="s">
        <v>271</v>
      </c>
      <c r="B73" s="181" t="s">
        <v>247</v>
      </c>
      <c r="C73" s="248"/>
      <c r="D73" s="645"/>
      <c r="E73" s="640"/>
    </row>
    <row r="74" spans="1:5" s="39" customFormat="1" ht="12" customHeight="1" thickBot="1" x14ac:dyDescent="0.25">
      <c r="A74" s="195" t="s">
        <v>272</v>
      </c>
      <c r="B74" s="182" t="s">
        <v>248</v>
      </c>
      <c r="C74" s="248"/>
      <c r="D74" s="645"/>
      <c r="E74" s="640"/>
    </row>
    <row r="75" spans="1:5" s="39" customFormat="1" ht="12" customHeight="1" thickBot="1" x14ac:dyDescent="0.2">
      <c r="A75" s="196" t="s">
        <v>249</v>
      </c>
      <c r="B75" s="105" t="s">
        <v>250</v>
      </c>
      <c r="C75" s="257">
        <f>SUM(C76:C77)</f>
        <v>0</v>
      </c>
      <c r="D75" s="645"/>
      <c r="E75" s="640"/>
    </row>
    <row r="76" spans="1:5" s="39" customFormat="1" ht="12" customHeight="1" x14ac:dyDescent="0.2">
      <c r="A76" s="193" t="s">
        <v>273</v>
      </c>
      <c r="B76" s="180" t="s">
        <v>251</v>
      </c>
      <c r="C76" s="248"/>
      <c r="D76" s="645"/>
      <c r="E76" s="640"/>
    </row>
    <row r="77" spans="1:5" s="39" customFormat="1" ht="12" customHeight="1" thickBot="1" x14ac:dyDescent="0.25">
      <c r="A77" s="195" t="s">
        <v>274</v>
      </c>
      <c r="B77" s="182" t="s">
        <v>252</v>
      </c>
      <c r="C77" s="248"/>
      <c r="D77" s="645"/>
      <c r="E77" s="640"/>
    </row>
    <row r="78" spans="1:5" s="38" customFormat="1" ht="12" customHeight="1" thickBot="1" x14ac:dyDescent="0.2">
      <c r="A78" s="196" t="s">
        <v>253</v>
      </c>
      <c r="B78" s="105" t="s">
        <v>254</v>
      </c>
      <c r="C78" s="257">
        <f>SUM(C79:C81)</f>
        <v>0</v>
      </c>
      <c r="D78" s="645"/>
      <c r="E78" s="640"/>
    </row>
    <row r="79" spans="1:5" s="39" customFormat="1" ht="12" customHeight="1" x14ac:dyDescent="0.2">
      <c r="A79" s="193" t="s">
        <v>275</v>
      </c>
      <c r="B79" s="180" t="s">
        <v>255</v>
      </c>
      <c r="C79" s="248"/>
      <c r="D79" s="645"/>
      <c r="E79" s="640"/>
    </row>
    <row r="80" spans="1:5" s="39" customFormat="1" ht="12" customHeight="1" x14ac:dyDescent="0.2">
      <c r="A80" s="194" t="s">
        <v>276</v>
      </c>
      <c r="B80" s="181" t="s">
        <v>256</v>
      </c>
      <c r="C80" s="248"/>
      <c r="D80" s="645"/>
      <c r="E80" s="640"/>
    </row>
    <row r="81" spans="1:5" s="39" customFormat="1" ht="12" customHeight="1" thickBot="1" x14ac:dyDescent="0.25">
      <c r="A81" s="195" t="s">
        <v>277</v>
      </c>
      <c r="B81" s="182" t="s">
        <v>257</v>
      </c>
      <c r="C81" s="248"/>
      <c r="D81" s="645"/>
      <c r="E81" s="640"/>
    </row>
    <row r="82" spans="1:5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  <c r="D82" s="645"/>
      <c r="E82" s="640"/>
    </row>
    <row r="83" spans="1:5" s="39" customFormat="1" ht="12" customHeight="1" x14ac:dyDescent="0.2">
      <c r="A83" s="197" t="s">
        <v>259</v>
      </c>
      <c r="B83" s="180" t="s">
        <v>260</v>
      </c>
      <c r="C83" s="248"/>
      <c r="D83" s="645"/>
      <c r="E83" s="640"/>
    </row>
    <row r="84" spans="1:5" s="39" customFormat="1" ht="12" customHeight="1" x14ac:dyDescent="0.2">
      <c r="A84" s="198" t="s">
        <v>261</v>
      </c>
      <c r="B84" s="181" t="s">
        <v>262</v>
      </c>
      <c r="C84" s="248"/>
      <c r="D84" s="645"/>
      <c r="E84" s="640"/>
    </row>
    <row r="85" spans="1:5" s="39" customFormat="1" ht="12" customHeight="1" x14ac:dyDescent="0.2">
      <c r="A85" s="198" t="s">
        <v>263</v>
      </c>
      <c r="B85" s="181" t="s">
        <v>264</v>
      </c>
      <c r="C85" s="248"/>
      <c r="D85" s="645"/>
      <c r="E85" s="640"/>
    </row>
    <row r="86" spans="1:5" s="38" customFormat="1" ht="12" customHeight="1" thickBot="1" x14ac:dyDescent="0.25">
      <c r="A86" s="199" t="s">
        <v>265</v>
      </c>
      <c r="B86" s="182" t="s">
        <v>266</v>
      </c>
      <c r="C86" s="248"/>
      <c r="D86" s="645"/>
      <c r="E86" s="640"/>
    </row>
    <row r="87" spans="1:5" s="38" customFormat="1" ht="12" customHeight="1" thickBot="1" x14ac:dyDescent="0.2">
      <c r="A87" s="196" t="s">
        <v>267</v>
      </c>
      <c r="B87" s="105" t="s">
        <v>395</v>
      </c>
      <c r="C87" s="260"/>
      <c r="D87" s="645"/>
      <c r="E87" s="640"/>
    </row>
    <row r="88" spans="1:5" s="38" customFormat="1" ht="12" customHeight="1" thickBot="1" x14ac:dyDescent="0.2">
      <c r="A88" s="196" t="s">
        <v>447</v>
      </c>
      <c r="B88" s="105" t="s">
        <v>268</v>
      </c>
      <c r="C88" s="260"/>
      <c r="D88" s="645"/>
      <c r="E88" s="640"/>
    </row>
    <row r="89" spans="1:5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0</v>
      </c>
      <c r="D89" s="645"/>
      <c r="E89" s="640"/>
    </row>
    <row r="90" spans="1:5" s="38" customFormat="1" ht="12" customHeight="1" thickBot="1" x14ac:dyDescent="0.2">
      <c r="A90" s="200" t="s">
        <v>449</v>
      </c>
      <c r="B90" s="188" t="s">
        <v>450</v>
      </c>
      <c r="C90" s="259">
        <f>+C65+C89</f>
        <v>631788998</v>
      </c>
      <c r="D90" s="645"/>
      <c r="E90" s="640"/>
    </row>
    <row r="91" spans="1:5" s="32" customFormat="1" ht="16.5" customHeight="1" thickBot="1" x14ac:dyDescent="0.25">
      <c r="A91" s="1380" t="s">
        <v>53</v>
      </c>
      <c r="B91" s="1381"/>
      <c r="C91" s="1382"/>
      <c r="E91" s="640"/>
    </row>
    <row r="92" spans="1:5" s="213" customFormat="1" ht="12" customHeight="1" thickBot="1" x14ac:dyDescent="0.25">
      <c r="A92" s="173" t="s">
        <v>16</v>
      </c>
      <c r="B92" s="367" t="s">
        <v>460</v>
      </c>
      <c r="C92" s="109">
        <f>+C93+C94+C95+C96+C97+C110</f>
        <v>220071909</v>
      </c>
      <c r="E92" s="640"/>
    </row>
    <row r="93" spans="1:5" ht="12" customHeight="1" x14ac:dyDescent="0.2">
      <c r="A93" s="201" t="s">
        <v>85</v>
      </c>
      <c r="B93" s="368" t="s">
        <v>46</v>
      </c>
      <c r="C93" s="1301">
        <f>3472852+1291631+29664224+958699-1267580-1400000</f>
        <v>32719826</v>
      </c>
      <c r="D93" s="213"/>
      <c r="E93" s="640"/>
    </row>
    <row r="94" spans="1:5" ht="12" customHeight="1" x14ac:dyDescent="0.2">
      <c r="A94" s="194" t="s">
        <v>86</v>
      </c>
      <c r="B94" s="369" t="s">
        <v>134</v>
      </c>
      <c r="C94" s="1295">
        <f>1482606+199020+3385159+124631-260842-560000</f>
        <v>4370574</v>
      </c>
      <c r="D94" s="213"/>
      <c r="E94" s="640"/>
    </row>
    <row r="95" spans="1:5" ht="12" customHeight="1" x14ac:dyDescent="0.2">
      <c r="A95" s="194" t="s">
        <v>87</v>
      </c>
      <c r="B95" s="369" t="s">
        <v>110</v>
      </c>
      <c r="C95" s="1142">
        <f>112474577+11876+31233199+2+13779801+4+490099+6731530-4576000</f>
        <v>160145088</v>
      </c>
      <c r="D95" s="213"/>
      <c r="E95" s="640"/>
    </row>
    <row r="96" spans="1:5" ht="12" customHeight="1" x14ac:dyDescent="0.2">
      <c r="A96" s="194" t="s">
        <v>88</v>
      </c>
      <c r="B96" s="372" t="s">
        <v>135</v>
      </c>
      <c r="C96" s="170"/>
      <c r="D96" s="213"/>
      <c r="E96" s="640"/>
    </row>
    <row r="97" spans="1:5" ht="12" customHeight="1" x14ac:dyDescent="0.2">
      <c r="A97" s="194" t="s">
        <v>99</v>
      </c>
      <c r="B97" s="16" t="s">
        <v>136</v>
      </c>
      <c r="C97" s="170">
        <f>SUM(C98:C109)</f>
        <v>22836421</v>
      </c>
      <c r="D97" s="213"/>
      <c r="E97" s="640"/>
    </row>
    <row r="98" spans="1:5" ht="12" customHeight="1" x14ac:dyDescent="0.2">
      <c r="A98" s="194" t="s">
        <v>89</v>
      </c>
      <c r="B98" s="369" t="s">
        <v>451</v>
      </c>
      <c r="C98" s="170">
        <f>387163+771870</f>
        <v>1159033</v>
      </c>
      <c r="D98" s="213"/>
      <c r="E98" s="640"/>
    </row>
    <row r="99" spans="1:5" ht="12" customHeight="1" x14ac:dyDescent="0.2">
      <c r="A99" s="194" t="s">
        <v>90</v>
      </c>
      <c r="B99" s="380" t="s">
        <v>400</v>
      </c>
      <c r="C99" s="170"/>
      <c r="D99" s="213"/>
      <c r="E99" s="640"/>
    </row>
    <row r="100" spans="1:5" ht="12" customHeight="1" x14ac:dyDescent="0.2">
      <c r="A100" s="194" t="s">
        <v>100</v>
      </c>
      <c r="B100" s="380" t="s">
        <v>401</v>
      </c>
      <c r="C100" s="170"/>
      <c r="D100" s="213"/>
      <c r="E100" s="640"/>
    </row>
    <row r="101" spans="1:5" ht="12" customHeight="1" x14ac:dyDescent="0.2">
      <c r="A101" s="194" t="s">
        <v>101</v>
      </c>
      <c r="B101" s="380" t="s">
        <v>284</v>
      </c>
      <c r="C101" s="170"/>
      <c r="D101" s="213"/>
      <c r="E101" s="640"/>
    </row>
    <row r="102" spans="1:5" ht="12" customHeight="1" x14ac:dyDescent="0.2">
      <c r="A102" s="194" t="s">
        <v>102</v>
      </c>
      <c r="B102" s="377" t="s">
        <v>285</v>
      </c>
      <c r="C102" s="170"/>
      <c r="D102" s="213"/>
      <c r="E102" s="640"/>
    </row>
    <row r="103" spans="1:5" ht="12" customHeight="1" x14ac:dyDescent="0.2">
      <c r="A103" s="194" t="s">
        <v>103</v>
      </c>
      <c r="B103" s="377" t="s">
        <v>286</v>
      </c>
      <c r="C103" s="170"/>
      <c r="D103" s="213"/>
      <c r="E103" s="640"/>
    </row>
    <row r="104" spans="1:5" ht="12" customHeight="1" x14ac:dyDescent="0.2">
      <c r="A104" s="194" t="s">
        <v>105</v>
      </c>
      <c r="B104" s="380" t="s">
        <v>287</v>
      </c>
      <c r="C104" s="170"/>
      <c r="D104" s="213"/>
      <c r="E104" s="640"/>
    </row>
    <row r="105" spans="1:5" ht="12" customHeight="1" x14ac:dyDescent="0.2">
      <c r="A105" s="194" t="s">
        <v>137</v>
      </c>
      <c r="B105" s="380" t="s">
        <v>288</v>
      </c>
      <c r="C105" s="170"/>
      <c r="D105" s="213"/>
      <c r="E105" s="640"/>
    </row>
    <row r="106" spans="1:5" ht="12" customHeight="1" x14ac:dyDescent="0.2">
      <c r="A106" s="194" t="s">
        <v>282</v>
      </c>
      <c r="B106" s="377" t="s">
        <v>289</v>
      </c>
      <c r="C106" s="170"/>
      <c r="D106" s="213"/>
      <c r="E106" s="640"/>
    </row>
    <row r="107" spans="1:5" ht="12" customHeight="1" x14ac:dyDescent="0.2">
      <c r="A107" s="202" t="s">
        <v>283</v>
      </c>
      <c r="B107" s="371" t="s">
        <v>290</v>
      </c>
      <c r="C107" s="170"/>
      <c r="D107" s="213"/>
      <c r="E107" s="640"/>
    </row>
    <row r="108" spans="1:5" ht="12" customHeight="1" x14ac:dyDescent="0.2">
      <c r="A108" s="194" t="s">
        <v>402</v>
      </c>
      <c r="B108" s="371" t="s">
        <v>291</v>
      </c>
      <c r="C108" s="170"/>
      <c r="D108" s="213"/>
      <c r="E108" s="640"/>
    </row>
    <row r="109" spans="1:5" ht="12" customHeight="1" x14ac:dyDescent="0.2">
      <c r="A109" s="194" t="s">
        <v>403</v>
      </c>
      <c r="B109" s="377" t="s">
        <v>292</v>
      </c>
      <c r="C109" s="114">
        <f>20497388-150000+1330000</f>
        <v>21677388</v>
      </c>
      <c r="D109" s="213"/>
      <c r="E109" s="640"/>
    </row>
    <row r="110" spans="1:5" ht="12" customHeight="1" x14ac:dyDescent="0.2">
      <c r="A110" s="194" t="s">
        <v>404</v>
      </c>
      <c r="B110" s="372" t="s">
        <v>47</v>
      </c>
      <c r="C110" s="114">
        <f>SUM(C111:C112)</f>
        <v>0</v>
      </c>
      <c r="D110" s="213"/>
      <c r="E110" s="640"/>
    </row>
    <row r="111" spans="1:5" ht="12" customHeight="1" x14ac:dyDescent="0.2">
      <c r="A111" s="195" t="s">
        <v>405</v>
      </c>
      <c r="B111" s="369" t="s">
        <v>452</v>
      </c>
      <c r="C111" s="170"/>
      <c r="D111" s="213"/>
      <c r="E111" s="640"/>
    </row>
    <row r="112" spans="1:5" ht="12" customHeight="1" thickBot="1" x14ac:dyDescent="0.25">
      <c r="A112" s="203" t="s">
        <v>407</v>
      </c>
      <c r="B112" s="993" t="s">
        <v>453</v>
      </c>
      <c r="C112" s="256"/>
      <c r="D112" s="213"/>
      <c r="E112" s="640"/>
    </row>
    <row r="113" spans="1:5" ht="12" customHeight="1" thickBot="1" x14ac:dyDescent="0.25">
      <c r="A113" s="25" t="s">
        <v>17</v>
      </c>
      <c r="B113" s="994" t="s">
        <v>293</v>
      </c>
      <c r="C113" s="110">
        <f>+C114+C116+C118</f>
        <v>146327406</v>
      </c>
      <c r="D113" s="213"/>
      <c r="E113" s="640"/>
    </row>
    <row r="114" spans="1:5" ht="12" customHeight="1" x14ac:dyDescent="0.2">
      <c r="A114" s="193" t="s">
        <v>91</v>
      </c>
      <c r="B114" s="369" t="s">
        <v>157</v>
      </c>
      <c r="C114" s="214">
        <f>47592654+8776150-457258+4290000+300000+2667000+25963256</f>
        <v>89131802</v>
      </c>
      <c r="D114" s="213"/>
      <c r="E114" s="640"/>
    </row>
    <row r="115" spans="1:5" ht="12" customHeight="1" x14ac:dyDescent="0.2">
      <c r="A115" s="193" t="s">
        <v>92</v>
      </c>
      <c r="B115" s="370" t="s">
        <v>297</v>
      </c>
      <c r="C115" s="214"/>
      <c r="D115" s="213"/>
      <c r="E115" s="640"/>
    </row>
    <row r="116" spans="1:5" ht="12" customHeight="1" x14ac:dyDescent="0.2">
      <c r="A116" s="193" t="s">
        <v>93</v>
      </c>
      <c r="B116" s="370" t="s">
        <v>138</v>
      </c>
      <c r="C116" s="114">
        <f>49000000+7398345</f>
        <v>56398345</v>
      </c>
      <c r="D116" s="213"/>
      <c r="E116" s="640"/>
    </row>
    <row r="117" spans="1:5" ht="12" customHeight="1" x14ac:dyDescent="0.2">
      <c r="A117" s="193" t="s">
        <v>94</v>
      </c>
      <c r="B117" s="370" t="s">
        <v>298</v>
      </c>
      <c r="C117" s="114"/>
      <c r="D117" s="213"/>
      <c r="E117" s="640"/>
    </row>
    <row r="118" spans="1:5" ht="12" customHeight="1" x14ac:dyDescent="0.2">
      <c r="A118" s="193" t="s">
        <v>95</v>
      </c>
      <c r="B118" s="362" t="s">
        <v>159</v>
      </c>
      <c r="C118" s="114">
        <f>SUM(C119:C126)</f>
        <v>797259</v>
      </c>
      <c r="D118" s="213"/>
      <c r="E118" s="640"/>
    </row>
    <row r="119" spans="1:5" ht="12" customHeight="1" x14ac:dyDescent="0.2">
      <c r="A119" s="193" t="s">
        <v>104</v>
      </c>
      <c r="B119" s="361" t="s">
        <v>358</v>
      </c>
      <c r="C119" s="111"/>
      <c r="D119" s="213"/>
      <c r="E119" s="640"/>
    </row>
    <row r="120" spans="1:5" ht="12" customHeight="1" x14ac:dyDescent="0.2">
      <c r="A120" s="193" t="s">
        <v>106</v>
      </c>
      <c r="B120" s="376" t="s">
        <v>303</v>
      </c>
      <c r="C120" s="111"/>
      <c r="D120" s="213"/>
      <c r="E120" s="640"/>
    </row>
    <row r="121" spans="1:5" ht="12" customHeight="1" x14ac:dyDescent="0.2">
      <c r="A121" s="193" t="s">
        <v>139</v>
      </c>
      <c r="B121" s="377" t="s">
        <v>286</v>
      </c>
      <c r="C121" s="111"/>
      <c r="D121" s="213"/>
      <c r="E121" s="640"/>
    </row>
    <row r="122" spans="1:5" ht="12" customHeight="1" x14ac:dyDescent="0.2">
      <c r="A122" s="193" t="s">
        <v>140</v>
      </c>
      <c r="B122" s="377" t="s">
        <v>302</v>
      </c>
      <c r="C122" s="114">
        <v>457259</v>
      </c>
      <c r="D122" s="213"/>
      <c r="E122" s="640"/>
    </row>
    <row r="123" spans="1:5" ht="12" customHeight="1" x14ac:dyDescent="0.2">
      <c r="A123" s="193" t="s">
        <v>141</v>
      </c>
      <c r="B123" s="377" t="s">
        <v>301</v>
      </c>
      <c r="C123" s="111"/>
      <c r="D123" s="213"/>
      <c r="E123" s="640"/>
    </row>
    <row r="124" spans="1:5" ht="12" customHeight="1" x14ac:dyDescent="0.2">
      <c r="A124" s="193" t="s">
        <v>294</v>
      </c>
      <c r="B124" s="377" t="s">
        <v>289</v>
      </c>
      <c r="C124" s="111"/>
      <c r="D124" s="213"/>
      <c r="E124" s="640"/>
    </row>
    <row r="125" spans="1:5" ht="12" customHeight="1" x14ac:dyDescent="0.2">
      <c r="A125" s="193" t="s">
        <v>295</v>
      </c>
      <c r="B125" s="377" t="s">
        <v>300</v>
      </c>
      <c r="C125" s="111"/>
      <c r="D125" s="213"/>
      <c r="E125" s="640"/>
    </row>
    <row r="126" spans="1:5" ht="12" customHeight="1" thickBot="1" x14ac:dyDescent="0.25">
      <c r="A126" s="202" t="s">
        <v>296</v>
      </c>
      <c r="B126" s="377" t="s">
        <v>299</v>
      </c>
      <c r="C126" s="1142">
        <f>150000+767815-577815</f>
        <v>340000</v>
      </c>
      <c r="D126" s="213"/>
      <c r="E126" s="640"/>
    </row>
    <row r="127" spans="1:5" ht="12" customHeight="1" thickBot="1" x14ac:dyDescent="0.25">
      <c r="A127" s="25" t="s">
        <v>18</v>
      </c>
      <c r="B127" s="354" t="s">
        <v>409</v>
      </c>
      <c r="C127" s="110">
        <f>+C92+C113</f>
        <v>366399315</v>
      </c>
      <c r="D127" s="213"/>
      <c r="E127" s="640"/>
    </row>
    <row r="128" spans="1:5" ht="12" customHeight="1" thickBot="1" x14ac:dyDescent="0.25">
      <c r="A128" s="25" t="s">
        <v>19</v>
      </c>
      <c r="B128" s="354" t="s">
        <v>410</v>
      </c>
      <c r="C128" s="110">
        <f>+C129+C130+C131</f>
        <v>1668000</v>
      </c>
      <c r="D128" s="213"/>
      <c r="E128" s="640"/>
    </row>
    <row r="129" spans="1:11" s="213" customFormat="1" ht="12" customHeight="1" x14ac:dyDescent="0.2">
      <c r="A129" s="193" t="s">
        <v>195</v>
      </c>
      <c r="B129" s="374" t="s">
        <v>454</v>
      </c>
      <c r="C129" s="114">
        <v>1668000</v>
      </c>
      <c r="E129" s="640"/>
    </row>
    <row r="130" spans="1:11" ht="12" customHeight="1" x14ac:dyDescent="0.2">
      <c r="A130" s="193" t="s">
        <v>198</v>
      </c>
      <c r="B130" s="374" t="s">
        <v>412</v>
      </c>
      <c r="C130" s="114"/>
      <c r="D130" s="213"/>
      <c r="E130" s="640"/>
    </row>
    <row r="131" spans="1:11" ht="12" customHeight="1" thickBot="1" x14ac:dyDescent="0.25">
      <c r="A131" s="202" t="s">
        <v>199</v>
      </c>
      <c r="B131" s="375" t="s">
        <v>455</v>
      </c>
      <c r="C131" s="111"/>
      <c r="D131" s="213"/>
      <c r="E131" s="640"/>
    </row>
    <row r="132" spans="1:11" ht="12" customHeight="1" thickBot="1" x14ac:dyDescent="0.25">
      <c r="A132" s="25" t="s">
        <v>20</v>
      </c>
      <c r="B132" s="354" t="s">
        <v>414</v>
      </c>
      <c r="C132" s="110">
        <f>+C133+C134+C135+C136+C137+C138</f>
        <v>0</v>
      </c>
      <c r="D132" s="213"/>
      <c r="E132" s="640"/>
    </row>
    <row r="133" spans="1:11" ht="12" customHeight="1" x14ac:dyDescent="0.2">
      <c r="A133" s="193" t="s">
        <v>78</v>
      </c>
      <c r="B133" s="374" t="s">
        <v>415</v>
      </c>
      <c r="C133" s="111"/>
      <c r="D133" s="213"/>
      <c r="E133" s="640"/>
    </row>
    <row r="134" spans="1:11" ht="12" customHeight="1" x14ac:dyDescent="0.2">
      <c r="A134" s="193" t="s">
        <v>79</v>
      </c>
      <c r="B134" s="374" t="s">
        <v>416</v>
      </c>
      <c r="C134" s="111"/>
      <c r="D134" s="213"/>
      <c r="E134" s="640"/>
    </row>
    <row r="135" spans="1:11" ht="12" customHeight="1" x14ac:dyDescent="0.2">
      <c r="A135" s="193" t="s">
        <v>80</v>
      </c>
      <c r="B135" s="374" t="s">
        <v>417</v>
      </c>
      <c r="C135" s="111"/>
      <c r="D135" s="213"/>
      <c r="E135" s="640"/>
    </row>
    <row r="136" spans="1:11" ht="12" customHeight="1" x14ac:dyDescent="0.2">
      <c r="A136" s="193" t="s">
        <v>126</v>
      </c>
      <c r="B136" s="374" t="s">
        <v>456</v>
      </c>
      <c r="C136" s="111"/>
      <c r="D136" s="213"/>
      <c r="E136" s="640"/>
    </row>
    <row r="137" spans="1:11" ht="12" customHeight="1" x14ac:dyDescent="0.2">
      <c r="A137" s="193" t="s">
        <v>127</v>
      </c>
      <c r="B137" s="374" t="s">
        <v>419</v>
      </c>
      <c r="C137" s="111"/>
      <c r="D137" s="213"/>
      <c r="E137" s="640"/>
    </row>
    <row r="138" spans="1:11" s="213" customFormat="1" ht="12" customHeight="1" thickBot="1" x14ac:dyDescent="0.25">
      <c r="A138" s="202" t="s">
        <v>128</v>
      </c>
      <c r="B138" s="375" t="s">
        <v>420</v>
      </c>
      <c r="C138" s="111"/>
      <c r="E138" s="640"/>
    </row>
    <row r="139" spans="1:11" ht="12" customHeight="1" thickBot="1" x14ac:dyDescent="0.25">
      <c r="A139" s="25" t="s">
        <v>21</v>
      </c>
      <c r="B139" s="354" t="s">
        <v>457</v>
      </c>
      <c r="C139" s="115">
        <f>+C140+C141+C142+C143</f>
        <v>0</v>
      </c>
      <c r="D139" s="213"/>
      <c r="E139" s="640"/>
      <c r="K139" s="98"/>
    </row>
    <row r="140" spans="1:11" ht="15.75" x14ac:dyDescent="0.2">
      <c r="A140" s="193" t="s">
        <v>81</v>
      </c>
      <c r="B140" s="374" t="s">
        <v>304</v>
      </c>
      <c r="C140" s="111"/>
      <c r="D140" s="213"/>
      <c r="E140" s="640"/>
    </row>
    <row r="141" spans="1:11" ht="12" customHeight="1" x14ac:dyDescent="0.2">
      <c r="A141" s="193" t="s">
        <v>82</v>
      </c>
      <c r="B141" s="374" t="s">
        <v>305</v>
      </c>
      <c r="C141" s="111"/>
      <c r="D141" s="213"/>
      <c r="E141" s="640"/>
    </row>
    <row r="142" spans="1:11" s="213" customFormat="1" ht="12" customHeight="1" x14ac:dyDescent="0.2">
      <c r="A142" s="193" t="s">
        <v>218</v>
      </c>
      <c r="B142" s="374" t="s">
        <v>422</v>
      </c>
      <c r="C142" s="111"/>
      <c r="E142" s="640"/>
    </row>
    <row r="143" spans="1:11" s="213" customFormat="1" ht="12" customHeight="1" thickBot="1" x14ac:dyDescent="0.25">
      <c r="A143" s="202" t="s">
        <v>219</v>
      </c>
      <c r="B143" s="375" t="s">
        <v>323</v>
      </c>
      <c r="C143" s="111"/>
      <c r="E143" s="640"/>
    </row>
    <row r="144" spans="1:11" s="213" customFormat="1" ht="12" customHeight="1" thickBot="1" x14ac:dyDescent="0.25">
      <c r="A144" s="25" t="s">
        <v>22</v>
      </c>
      <c r="B144" s="354" t="s">
        <v>423</v>
      </c>
      <c r="C144" s="118">
        <f>+C145+C146+C147+C148+C149</f>
        <v>0</v>
      </c>
      <c r="E144" s="640"/>
    </row>
    <row r="145" spans="1:5" s="213" customFormat="1" ht="12" customHeight="1" x14ac:dyDescent="0.2">
      <c r="A145" s="193" t="s">
        <v>83</v>
      </c>
      <c r="B145" s="374" t="s">
        <v>424</v>
      </c>
      <c r="C145" s="111"/>
      <c r="E145" s="640"/>
    </row>
    <row r="146" spans="1:5" s="213" customFormat="1" ht="12" customHeight="1" x14ac:dyDescent="0.2">
      <c r="A146" s="193" t="s">
        <v>84</v>
      </c>
      <c r="B146" s="374" t="s">
        <v>425</v>
      </c>
      <c r="C146" s="111"/>
      <c r="E146" s="640"/>
    </row>
    <row r="147" spans="1:5" s="213" customFormat="1" ht="12" customHeight="1" x14ac:dyDescent="0.2">
      <c r="A147" s="193" t="s">
        <v>230</v>
      </c>
      <c r="B147" s="374" t="s">
        <v>426</v>
      </c>
      <c r="C147" s="111"/>
      <c r="E147" s="640"/>
    </row>
    <row r="148" spans="1:5" ht="12.75" customHeight="1" x14ac:dyDescent="0.2">
      <c r="A148" s="193" t="s">
        <v>231</v>
      </c>
      <c r="B148" s="374" t="s">
        <v>458</v>
      </c>
      <c r="C148" s="111"/>
      <c r="D148" s="213"/>
      <c r="E148" s="640"/>
    </row>
    <row r="149" spans="1:5" ht="12.75" customHeight="1" thickBot="1" x14ac:dyDescent="0.25">
      <c r="A149" s="202" t="s">
        <v>428</v>
      </c>
      <c r="B149" s="375" t="s">
        <v>429</v>
      </c>
      <c r="C149" s="113"/>
      <c r="D149" s="213"/>
      <c r="E149" s="640"/>
    </row>
    <row r="150" spans="1:5" ht="12.75" customHeight="1" thickBot="1" x14ac:dyDescent="0.25">
      <c r="A150" s="246" t="s">
        <v>23</v>
      </c>
      <c r="B150" s="354" t="s">
        <v>430</v>
      </c>
      <c r="C150" s="118"/>
      <c r="D150" s="213"/>
      <c r="E150" s="640"/>
    </row>
    <row r="151" spans="1:5" ht="12" customHeight="1" thickBot="1" x14ac:dyDescent="0.25">
      <c r="A151" s="246" t="s">
        <v>24</v>
      </c>
      <c r="B151" s="354" t="s">
        <v>431</v>
      </c>
      <c r="C151" s="118"/>
      <c r="D151" s="213"/>
      <c r="E151" s="640"/>
    </row>
    <row r="152" spans="1:5" ht="15" customHeight="1" thickBot="1" x14ac:dyDescent="0.25">
      <c r="A152" s="25" t="s">
        <v>25</v>
      </c>
      <c r="B152" s="354" t="s">
        <v>432</v>
      </c>
      <c r="C152" s="189">
        <f>+C128+C132+C139+C144+C150+C151</f>
        <v>1668000</v>
      </c>
      <c r="D152" s="213"/>
      <c r="E152" s="640"/>
    </row>
    <row r="153" spans="1:5" ht="16.5" thickBot="1" x14ac:dyDescent="0.25">
      <c r="A153" s="204" t="s">
        <v>26</v>
      </c>
      <c r="B153" s="357" t="s">
        <v>433</v>
      </c>
      <c r="C153" s="189">
        <f>+C127+C152</f>
        <v>368067315</v>
      </c>
      <c r="D153" s="213"/>
      <c r="E153" s="640"/>
    </row>
    <row r="154" spans="1:5" ht="14.25" customHeight="1" thickBot="1" x14ac:dyDescent="0.25">
      <c r="A154" s="1383" t="s">
        <v>1055</v>
      </c>
      <c r="B154" s="1384"/>
      <c r="C154" s="1202">
        <v>1.67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  <rowBreaks count="2" manualBreakCount="2">
    <brk id="69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K60"/>
  <sheetViews>
    <sheetView zoomScale="130" zoomScaleNormal="130" zoomScaleSheetLayoutView="100" zoomScalePageLayoutView="85" workbookViewId="0">
      <selection activeCell="B2" sqref="B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14" style="304" customWidth="1"/>
    <col min="4" max="4" width="10" style="642" hidden="1" customWidth="1"/>
    <col min="5" max="5" width="10.5" style="642" hidden="1" customWidth="1"/>
    <col min="6" max="9" width="9.33203125" style="304" customWidth="1"/>
    <col min="10" max="16384" width="9.33203125" style="304"/>
  </cols>
  <sheetData>
    <row r="1" spans="1:6" x14ac:dyDescent="0.2">
      <c r="A1" s="1385" t="str">
        <f>CONCATENATE("13. melléklet"," ",ALAPADATOK!A7," ",ALAPADATOK!B7," ",ALAPADATOK!C7," ",ALAPADATOK!D8," ",ALAPADATOK!E7," ",ALAPADATOK!F7," ",ALAPADATOK!G7," ",ALAPADATOK!H7)</f>
        <v>13. melléklet az 5 / 2023. ( II.24. ) önkormányzati rendelethez</v>
      </c>
      <c r="B1" s="1385"/>
      <c r="C1" s="1385"/>
    </row>
    <row r="2" spans="1:6" s="1" customFormat="1" ht="21" customHeight="1" x14ac:dyDescent="0.2">
      <c r="A2" s="75"/>
      <c r="B2" s="76"/>
      <c r="C2" s="211"/>
      <c r="D2" s="642"/>
      <c r="E2" s="642"/>
    </row>
    <row r="3" spans="1:6" s="1" customFormat="1" ht="16.5" customHeight="1" thickBot="1" x14ac:dyDescent="0.25">
      <c r="A3" s="1335" t="s">
        <v>898</v>
      </c>
      <c r="B3" s="1335"/>
      <c r="C3" s="1335"/>
      <c r="D3" s="643"/>
      <c r="E3" s="643"/>
      <c r="F3" s="642"/>
    </row>
    <row r="4" spans="1:6" ht="24.75" thickBot="1" x14ac:dyDescent="0.25">
      <c r="A4" s="172" t="s">
        <v>153</v>
      </c>
      <c r="B4" s="79" t="s">
        <v>50</v>
      </c>
      <c r="C4" s="80" t="s">
        <v>895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25"/>
      <c r="E5" s="325"/>
    </row>
    <row r="6" spans="1:6" s="32" customFormat="1" ht="15.95" customHeight="1" thickBot="1" x14ac:dyDescent="0.25">
      <c r="A6" s="81"/>
      <c r="B6" s="82" t="s">
        <v>52</v>
      </c>
      <c r="C6" s="83"/>
      <c r="D6" s="325"/>
      <c r="E6" s="325"/>
    </row>
    <row r="7" spans="1:6" s="38" customFormat="1" ht="12" customHeight="1" thickBot="1" x14ac:dyDescent="0.25">
      <c r="A7" s="71" t="s">
        <v>16</v>
      </c>
      <c r="B7" s="84" t="s">
        <v>461</v>
      </c>
      <c r="C7" s="124">
        <f>SUM(C8:C18)</f>
        <v>53381387</v>
      </c>
      <c r="D7" s="329">
        <f>'18. sz. mell PH.'!C7+'19. sz. mell PH.'!C7+'20. sz. mell. PH.'!C7</f>
        <v>53381387</v>
      </c>
      <c r="E7" s="467">
        <f t="shared" ref="E7:E41" si="0">C7-D7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156"/>
      <c r="D8" s="329">
        <f>'18. sz. mell PH.'!C8+'19. sz. mell PH.'!C8+'20. sz. mell. PH.'!C8</f>
        <v>0</v>
      </c>
      <c r="E8" s="467">
        <f t="shared" si="0"/>
        <v>0</v>
      </c>
    </row>
    <row r="9" spans="1:6" s="38" customFormat="1" ht="12" customHeight="1" x14ac:dyDescent="0.2">
      <c r="A9" s="207" t="s">
        <v>86</v>
      </c>
      <c r="B9" s="5" t="s">
        <v>208</v>
      </c>
      <c r="C9" s="36">
        <v>10800000</v>
      </c>
      <c r="D9" s="329">
        <f>'18. sz. mell PH.'!C9+'19. sz. mell PH.'!C9+'20. sz. mell. PH.'!C9</f>
        <v>10800000</v>
      </c>
      <c r="E9" s="467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36">
        <f>4904339+357600</f>
        <v>5261939</v>
      </c>
      <c r="D10" s="329">
        <f>'18. sz. mell PH.'!C10+'19. sz. mell PH.'!C10+'20. sz. mell. PH.'!C10</f>
        <v>5261939</v>
      </c>
      <c r="E10" s="467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674"/>
      <c r="D11" s="329">
        <f>'18. sz. mell PH.'!C11+'19. sz. mell PH.'!C11+'20. sz. mell. PH.'!C11</f>
        <v>0</v>
      </c>
      <c r="E11" s="467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36">
        <v>18214365</v>
      </c>
      <c r="D12" s="329">
        <f>'18. sz. mell PH.'!C12+'19. sz. mell PH.'!C12+'20. sz. mell. PH.'!C12</f>
        <v>18214365</v>
      </c>
      <c r="E12" s="467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36">
        <f>6728050+57216</f>
        <v>6785266</v>
      </c>
      <c r="D13" s="329">
        <f>'18. sz. mell PH.'!C13+'19. sz. mell PH.'!C13+'20. sz. mell. PH.'!C13</f>
        <v>6785266</v>
      </c>
      <c r="E13" s="467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36">
        <v>12219817</v>
      </c>
      <c r="D14" s="329">
        <f>'18. sz. mell PH.'!C14+'19. sz. mell PH.'!C14+'20. sz. mell. PH.'!C14</f>
        <v>12219817</v>
      </c>
      <c r="E14" s="467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125"/>
      <c r="D15" s="329">
        <f>'18. sz. mell PH.'!C15+'19. sz. mell PH.'!C15+'20. sz. mell. PH.'!C15</f>
        <v>0</v>
      </c>
      <c r="E15" s="467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36"/>
      <c r="D16" s="329">
        <f>'18. sz. mell PH.'!C16+'19. sz. mell PH.'!C16+'20. sz. mell. PH.'!C16</f>
        <v>0</v>
      </c>
      <c r="E16" s="467">
        <f t="shared" si="0"/>
        <v>0</v>
      </c>
    </row>
    <row r="17" spans="1:5" s="39" customFormat="1" ht="12" customHeight="1" x14ac:dyDescent="0.2">
      <c r="A17" s="207" t="s">
        <v>102</v>
      </c>
      <c r="B17" s="5" t="s">
        <v>391</v>
      </c>
      <c r="C17" s="387"/>
      <c r="D17" s="329">
        <f>'18. sz. mell PH.'!C17+'19. sz. mell PH.'!C17+'20. sz. mell. PH.'!C17</f>
        <v>0</v>
      </c>
      <c r="E17" s="467">
        <f t="shared" si="0"/>
        <v>0</v>
      </c>
    </row>
    <row r="18" spans="1:5" s="39" customFormat="1" ht="12" customHeight="1" thickBot="1" x14ac:dyDescent="0.25">
      <c r="A18" s="207" t="s">
        <v>103</v>
      </c>
      <c r="B18" s="4" t="s">
        <v>216</v>
      </c>
      <c r="C18" s="387">
        <v>100000</v>
      </c>
      <c r="D18" s="329">
        <f>'18. sz. mell PH.'!C18+'19. sz. mell PH.'!C18+'20. sz. mell. PH.'!C18</f>
        <v>100000</v>
      </c>
      <c r="E18" s="467">
        <f t="shared" si="0"/>
        <v>0</v>
      </c>
    </row>
    <row r="19" spans="1:5" s="38" customFormat="1" ht="12" customHeight="1" thickBot="1" x14ac:dyDescent="0.25">
      <c r="A19" s="71" t="s">
        <v>17</v>
      </c>
      <c r="B19" s="84" t="s">
        <v>333</v>
      </c>
      <c r="C19" s="124">
        <f>SUM(C20:C22)</f>
        <v>16865647</v>
      </c>
      <c r="D19" s="329">
        <f>'18. sz. mell PH.'!C19+'19. sz. mell PH.'!C19+'20. sz. mell. PH.'!C19</f>
        <v>16865647</v>
      </c>
      <c r="E19" s="467">
        <f t="shared" si="0"/>
        <v>0</v>
      </c>
    </row>
    <row r="20" spans="1:5" s="39" customFormat="1" ht="12" customHeight="1" x14ac:dyDescent="0.2">
      <c r="A20" s="207" t="s">
        <v>91</v>
      </c>
      <c r="B20" s="6" t="s">
        <v>185</v>
      </c>
      <c r="C20" s="122"/>
      <c r="D20" s="329">
        <f>'18. sz. mell PH.'!C20+'19. sz. mell PH.'!C20+'20. sz. mell. PH.'!C20</f>
        <v>0</v>
      </c>
      <c r="E20" s="467">
        <f t="shared" si="0"/>
        <v>0</v>
      </c>
    </row>
    <row r="21" spans="1:5" s="39" customFormat="1" ht="12" customHeight="1" x14ac:dyDescent="0.2">
      <c r="A21" s="207" t="s">
        <v>92</v>
      </c>
      <c r="B21" s="5" t="s">
        <v>334</v>
      </c>
      <c r="C21" s="36"/>
      <c r="D21" s="329">
        <f>'18. sz. mell PH.'!C21+'19. sz. mell PH.'!C21+'20. sz. mell. PH.'!C21</f>
        <v>0</v>
      </c>
      <c r="E21" s="467">
        <f t="shared" si="0"/>
        <v>0</v>
      </c>
    </row>
    <row r="22" spans="1:5" s="39" customFormat="1" ht="12" customHeight="1" x14ac:dyDescent="0.2">
      <c r="A22" s="207" t="s">
        <v>93</v>
      </c>
      <c r="B22" s="5" t="s">
        <v>335</v>
      </c>
      <c r="C22" s="36">
        <f>4442252+12423395</f>
        <v>16865647</v>
      </c>
      <c r="D22" s="329">
        <f>'18. sz. mell PH.'!C22+'19. sz. mell PH.'!C22+'20. sz. mell. PH.'!C22</f>
        <v>16865647</v>
      </c>
      <c r="E22" s="467">
        <f t="shared" si="0"/>
        <v>0</v>
      </c>
    </row>
    <row r="23" spans="1:5" s="39" customFormat="1" ht="12" customHeight="1" thickBot="1" x14ac:dyDescent="0.25">
      <c r="A23" s="207" t="s">
        <v>94</v>
      </c>
      <c r="B23" s="5" t="s">
        <v>462</v>
      </c>
      <c r="C23" s="36"/>
      <c r="D23" s="329">
        <f>'18. sz. mell PH.'!C23+'19. sz. mell PH.'!C23+'20. sz. mell. PH.'!C23</f>
        <v>0</v>
      </c>
      <c r="E23" s="467">
        <f t="shared" si="0"/>
        <v>0</v>
      </c>
    </row>
    <row r="24" spans="1:5" s="39" customFormat="1" ht="12" customHeight="1" thickBot="1" x14ac:dyDescent="0.25">
      <c r="A24" s="74" t="s">
        <v>18</v>
      </c>
      <c r="B24" s="54" t="s">
        <v>125</v>
      </c>
      <c r="C24" s="142"/>
      <c r="D24" s="329">
        <f>'18. sz. mell PH.'!C24+'19. sz. mell PH.'!C24+'20. sz. mell. PH.'!C24</f>
        <v>0</v>
      </c>
      <c r="E24" s="467">
        <f t="shared" si="0"/>
        <v>0</v>
      </c>
    </row>
    <row r="25" spans="1:5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  <c r="D25" s="329">
        <f>'18. sz. mell PH.'!C25+'19. sz. mell PH.'!C25+'20. sz. mell. PH.'!C25</f>
        <v>0</v>
      </c>
      <c r="E25" s="467">
        <f t="shared" si="0"/>
        <v>0</v>
      </c>
    </row>
    <row r="26" spans="1:5" s="39" customFormat="1" ht="12" customHeight="1" x14ac:dyDescent="0.2">
      <c r="A26" s="208" t="s">
        <v>195</v>
      </c>
      <c r="B26" s="209" t="s">
        <v>190</v>
      </c>
      <c r="C26" s="34"/>
      <c r="D26" s="329">
        <f>'18. sz. mell PH.'!C26+'19. sz. mell PH.'!C26+'20. sz. mell. PH.'!C26</f>
        <v>0</v>
      </c>
      <c r="E26" s="467">
        <f t="shared" si="0"/>
        <v>0</v>
      </c>
    </row>
    <row r="27" spans="1:5" s="39" customFormat="1" ht="12" customHeight="1" x14ac:dyDescent="0.2">
      <c r="A27" s="208" t="s">
        <v>198</v>
      </c>
      <c r="B27" s="209" t="s">
        <v>334</v>
      </c>
      <c r="C27" s="122"/>
      <c r="D27" s="329">
        <f>'18. sz. mell PH.'!C27+'19. sz. mell PH.'!C27+'20. sz. mell. PH.'!C27</f>
        <v>0</v>
      </c>
      <c r="E27" s="467">
        <f t="shared" si="0"/>
        <v>0</v>
      </c>
    </row>
    <row r="28" spans="1:5" s="39" customFormat="1" ht="12" customHeight="1" x14ac:dyDescent="0.2">
      <c r="A28" s="208" t="s">
        <v>199</v>
      </c>
      <c r="B28" s="210" t="s">
        <v>336</v>
      </c>
      <c r="C28" s="122"/>
      <c r="D28" s="329">
        <f>'18. sz. mell PH.'!C28+'19. sz. mell PH.'!C28+'20. sz. mell. PH.'!C28</f>
        <v>0</v>
      </c>
      <c r="E28" s="467">
        <f t="shared" si="0"/>
        <v>0</v>
      </c>
    </row>
    <row r="29" spans="1:5" s="39" customFormat="1" ht="12" customHeight="1" thickBot="1" x14ac:dyDescent="0.25">
      <c r="A29" s="207" t="s">
        <v>200</v>
      </c>
      <c r="B29" s="57" t="s">
        <v>464</v>
      </c>
      <c r="C29" s="671"/>
      <c r="D29" s="329">
        <f>'18. sz. mell PH.'!C29+'19. sz. mell PH.'!C29+'20. sz. mell. PH.'!C29</f>
        <v>0</v>
      </c>
      <c r="E29" s="467">
        <f t="shared" si="0"/>
        <v>0</v>
      </c>
    </row>
    <row r="30" spans="1:5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  <c r="D30" s="329">
        <f>'18. sz. mell PH.'!C30+'19. sz. mell PH.'!C30+'20. sz. mell. PH.'!C30</f>
        <v>0</v>
      </c>
      <c r="E30" s="467">
        <f t="shared" si="0"/>
        <v>0</v>
      </c>
    </row>
    <row r="31" spans="1:5" s="39" customFormat="1" ht="12" customHeight="1" x14ac:dyDescent="0.2">
      <c r="A31" s="208" t="s">
        <v>78</v>
      </c>
      <c r="B31" s="209" t="s">
        <v>221</v>
      </c>
      <c r="C31" s="34"/>
      <c r="D31" s="329">
        <f>'18. sz. mell PH.'!C31+'19. sz. mell PH.'!C31+'20. sz. mell. PH.'!C31</f>
        <v>0</v>
      </c>
      <c r="E31" s="467">
        <f t="shared" si="0"/>
        <v>0</v>
      </c>
    </row>
    <row r="32" spans="1:5" s="39" customFormat="1" ht="12" customHeight="1" x14ac:dyDescent="0.2">
      <c r="A32" s="208" t="s">
        <v>79</v>
      </c>
      <c r="B32" s="210" t="s">
        <v>222</v>
      </c>
      <c r="C32" s="125"/>
      <c r="D32" s="329">
        <f>'18. sz. mell PH.'!C32+'19. sz. mell PH.'!C32+'20. sz. mell. PH.'!C32</f>
        <v>0</v>
      </c>
      <c r="E32" s="467">
        <f t="shared" si="0"/>
        <v>0</v>
      </c>
    </row>
    <row r="33" spans="1:11" s="39" customFormat="1" ht="12" customHeight="1" thickBot="1" x14ac:dyDescent="0.25">
      <c r="A33" s="207" t="s">
        <v>80</v>
      </c>
      <c r="B33" s="57" t="s">
        <v>223</v>
      </c>
      <c r="C33" s="671"/>
      <c r="D33" s="329">
        <f>'18. sz. mell PH.'!C33+'19. sz. mell PH.'!C33+'20. sz. mell. PH.'!C33</f>
        <v>0</v>
      </c>
      <c r="E33" s="467">
        <f t="shared" si="0"/>
        <v>0</v>
      </c>
    </row>
    <row r="34" spans="1:11" s="38" customFormat="1" ht="12" customHeight="1" thickBot="1" x14ac:dyDescent="0.25">
      <c r="A34" s="74" t="s">
        <v>21</v>
      </c>
      <c r="B34" s="54" t="s">
        <v>309</v>
      </c>
      <c r="C34" s="142"/>
      <c r="D34" s="329">
        <f>'18. sz. mell PH.'!C34+'19. sz. mell PH.'!C34+'20. sz. mell. PH.'!C34</f>
        <v>0</v>
      </c>
      <c r="E34" s="467">
        <f t="shared" si="0"/>
        <v>0</v>
      </c>
    </row>
    <row r="35" spans="1:11" s="38" customFormat="1" ht="12" customHeight="1" thickBot="1" x14ac:dyDescent="0.25">
      <c r="A35" s="74" t="s">
        <v>22</v>
      </c>
      <c r="B35" s="54" t="s">
        <v>338</v>
      </c>
      <c r="C35" s="158"/>
      <c r="D35" s="329">
        <f>'18. sz. mell PH.'!C35+'19. sz. mell PH.'!C35+'20. sz. mell. PH.'!C35</f>
        <v>0</v>
      </c>
      <c r="E35" s="467">
        <f t="shared" si="0"/>
        <v>0</v>
      </c>
    </row>
    <row r="36" spans="1:11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70247034</v>
      </c>
      <c r="D36" s="329">
        <f>'18. sz. mell PH.'!C36+'19. sz. mell PH.'!C36+'20. sz. mell. PH.'!C36</f>
        <v>70247034</v>
      </c>
      <c r="E36" s="467">
        <f t="shared" si="0"/>
        <v>0</v>
      </c>
    </row>
    <row r="37" spans="1:11" s="38" customFormat="1" ht="12" customHeight="1" thickBot="1" x14ac:dyDescent="0.25">
      <c r="A37" s="85" t="s">
        <v>24</v>
      </c>
      <c r="B37" s="54" t="s">
        <v>340</v>
      </c>
      <c r="C37" s="672">
        <f>+C38+C39+C40</f>
        <v>447302100</v>
      </c>
      <c r="D37" s="329">
        <f>'18. sz. mell PH.'!C37+'19. sz. mell PH.'!C37+'20. sz. mell. PH.'!C37</f>
        <v>447302100</v>
      </c>
      <c r="E37" s="467">
        <f t="shared" si="0"/>
        <v>0</v>
      </c>
    </row>
    <row r="38" spans="1:11" s="38" customFormat="1" ht="12" customHeight="1" x14ac:dyDescent="0.2">
      <c r="A38" s="208" t="s">
        <v>341</v>
      </c>
      <c r="B38" s="209" t="s">
        <v>166</v>
      </c>
      <c r="C38" s="34">
        <v>383395</v>
      </c>
      <c r="D38" s="329">
        <f>'18. sz. mell PH.'!C38+'19. sz. mell PH.'!C38+'20. sz. mell. PH.'!C38</f>
        <v>383395</v>
      </c>
      <c r="E38" s="467">
        <f t="shared" si="0"/>
        <v>0</v>
      </c>
      <c r="K38" s="725"/>
    </row>
    <row r="39" spans="1:11" s="38" customFormat="1" ht="12" customHeight="1" x14ac:dyDescent="0.2">
      <c r="A39" s="208" t="s">
        <v>342</v>
      </c>
      <c r="B39" s="210" t="s">
        <v>6</v>
      </c>
      <c r="C39" s="125"/>
      <c r="D39" s="329">
        <f>'18. sz. mell PH.'!C39+'19. sz. mell PH.'!C39+'20. sz. mell. PH.'!C39</f>
        <v>0</v>
      </c>
      <c r="E39" s="467">
        <f t="shared" si="0"/>
        <v>0</v>
      </c>
    </row>
    <row r="40" spans="1:11" s="39" customFormat="1" ht="12" customHeight="1" thickBot="1" x14ac:dyDescent="0.25">
      <c r="A40" s="207" t="s">
        <v>343</v>
      </c>
      <c r="B40" s="57" t="s">
        <v>344</v>
      </c>
      <c r="C40" s="887">
        <f>437259318+1417560+1875666+635000+27368500-21637339</f>
        <v>446918705</v>
      </c>
      <c r="D40" s="329">
        <f>'18. sz. mell PH.'!C40+'19. sz. mell PH.'!C40+'20. sz. mell. PH.'!C40</f>
        <v>446918705</v>
      </c>
      <c r="E40" s="467">
        <f t="shared" si="0"/>
        <v>0</v>
      </c>
    </row>
    <row r="41" spans="1:11" s="39" customFormat="1" ht="15" customHeight="1" thickBot="1" x14ac:dyDescent="0.25">
      <c r="A41" s="85" t="s">
        <v>25</v>
      </c>
      <c r="B41" s="86" t="s">
        <v>345</v>
      </c>
      <c r="C41" s="161">
        <f>+C36+C37</f>
        <v>517549134</v>
      </c>
      <c r="D41" s="329">
        <f>'18. sz. mell PH.'!C41+'19. sz. mell PH.'!C41+'20. sz. mell. PH.'!C41</f>
        <v>517549134</v>
      </c>
      <c r="E41" s="467">
        <f t="shared" si="0"/>
        <v>0</v>
      </c>
    </row>
    <row r="42" spans="1:11" s="39" customFormat="1" ht="15" customHeight="1" x14ac:dyDescent="0.2">
      <c r="A42" s="87"/>
      <c r="B42" s="88"/>
      <c r="C42" s="159"/>
      <c r="D42" s="329">
        <f>'18. sz. mell PH.'!C42+'19. sz. mell PH.'!C42+'20. sz. mell. PH.'!C42</f>
        <v>0</v>
      </c>
      <c r="E42" s="642"/>
    </row>
    <row r="43" spans="1:11" ht="13.5" thickBot="1" x14ac:dyDescent="0.25">
      <c r="A43" s="89"/>
      <c r="B43" s="90"/>
      <c r="C43" s="160"/>
      <c r="D43" s="329">
        <f>'18. sz. mell PH.'!C43+'19. sz. mell PH.'!C43+'20. sz. mell. PH.'!C43</f>
        <v>0</v>
      </c>
    </row>
    <row r="44" spans="1:11" s="32" customFormat="1" ht="16.5" customHeight="1" thickBot="1" x14ac:dyDescent="0.25">
      <c r="A44" s="91"/>
      <c r="B44" s="92" t="s">
        <v>53</v>
      </c>
      <c r="C44" s="161"/>
      <c r="D44" s="329">
        <f>'18. sz. mell PH.'!C44+'19. sz. mell PH.'!C44+'20. sz. mell. PH.'!C44</f>
        <v>0</v>
      </c>
      <c r="E44" s="325"/>
    </row>
    <row r="45" spans="1:11" s="213" customFormat="1" ht="12" customHeight="1" thickBot="1" x14ac:dyDescent="0.25">
      <c r="A45" s="74" t="s">
        <v>16</v>
      </c>
      <c r="B45" s="54" t="s">
        <v>346</v>
      </c>
      <c r="C45" s="124">
        <f>SUM(C46:C50)</f>
        <v>516926463</v>
      </c>
      <c r="D45" s="329">
        <f>'18. sz. mell PH.'!C45+'19. sz. mell PH.'!C45+'20. sz. mell. PH.'!C45</f>
        <v>516926463</v>
      </c>
      <c r="E45" s="467">
        <f t="shared" ref="E45:E57" si="1">C45-D45</f>
        <v>0</v>
      </c>
    </row>
    <row r="46" spans="1:11" ht="12" customHeight="1" x14ac:dyDescent="0.2">
      <c r="A46" s="207" t="s">
        <v>85</v>
      </c>
      <c r="B46" s="6" t="s">
        <v>46</v>
      </c>
      <c r="C46" s="673">
        <f>199255493+4615000+11396312-8075000</f>
        <v>207191805</v>
      </c>
      <c r="D46" s="329">
        <f>'18. sz. mell PH.'!C46+'19. sz. mell PH.'!C46+'20. sz. mell. PH.'!C46</f>
        <v>207191805</v>
      </c>
      <c r="E46" s="467">
        <f t="shared" si="1"/>
        <v>0</v>
      </c>
    </row>
    <row r="47" spans="1:11" ht="12" customHeight="1" x14ac:dyDescent="0.2">
      <c r="A47" s="207" t="s">
        <v>86</v>
      </c>
      <c r="B47" s="5" t="s">
        <v>134</v>
      </c>
      <c r="C47" s="674">
        <f>33797395+644812+1463627-5500000</f>
        <v>30405834</v>
      </c>
      <c r="D47" s="329">
        <f>'18. sz. mell PH.'!C47+'19. sz. mell PH.'!C47+'20. sz. mell. PH.'!C47</f>
        <v>30405834</v>
      </c>
      <c r="E47" s="467">
        <f t="shared" si="1"/>
        <v>0</v>
      </c>
    </row>
    <row r="48" spans="1:11" ht="12" customHeight="1" x14ac:dyDescent="0.2">
      <c r="A48" s="207" t="s">
        <v>87</v>
      </c>
      <c r="B48" s="5" t="s">
        <v>110</v>
      </c>
      <c r="C48" s="674">
        <f>252461386+1014816+1439122+635000+27368500-3590000</f>
        <v>279328824</v>
      </c>
      <c r="D48" s="329">
        <f>'18. sz. mell PH.'!C48+'19. sz. mell PH.'!C48+'20. sz. mell. PH.'!C48</f>
        <v>279328824</v>
      </c>
      <c r="E48" s="467">
        <f t="shared" si="1"/>
        <v>0</v>
      </c>
    </row>
    <row r="49" spans="1:9" ht="12" customHeight="1" x14ac:dyDescent="0.2">
      <c r="A49" s="207" t="s">
        <v>88</v>
      </c>
      <c r="B49" s="5" t="s">
        <v>135</v>
      </c>
      <c r="C49" s="36"/>
      <c r="D49" s="329">
        <f>'18. sz. mell PH.'!C49+'19. sz. mell PH.'!C49+'20. sz. mell. PH.'!C49</f>
        <v>0</v>
      </c>
      <c r="E49" s="467">
        <f t="shared" si="1"/>
        <v>0</v>
      </c>
    </row>
    <row r="50" spans="1:9" ht="12" customHeight="1" thickBot="1" x14ac:dyDescent="0.25">
      <c r="A50" s="207" t="s">
        <v>111</v>
      </c>
      <c r="B50" s="5" t="s">
        <v>136</v>
      </c>
      <c r="C50" s="36"/>
      <c r="D50" s="329">
        <f>'18. sz. mell PH.'!C50+'19. sz. mell PH.'!C50+'20. sz. mell. PH.'!C50</f>
        <v>0</v>
      </c>
      <c r="E50" s="467">
        <f t="shared" si="1"/>
        <v>0</v>
      </c>
    </row>
    <row r="51" spans="1:9" ht="12" customHeight="1" thickBot="1" x14ac:dyDescent="0.25">
      <c r="A51" s="74" t="s">
        <v>17</v>
      </c>
      <c r="B51" s="54" t="s">
        <v>347</v>
      </c>
      <c r="C51" s="124">
        <f>SUM(C52:C54)</f>
        <v>622671</v>
      </c>
      <c r="D51" s="329">
        <f>'18. sz. mell PH.'!C51+'19. sz. mell PH.'!C51+'20. sz. mell. PH.'!C51</f>
        <v>622671</v>
      </c>
      <c r="E51" s="467">
        <f t="shared" si="1"/>
        <v>0</v>
      </c>
    </row>
    <row r="52" spans="1:9" s="213" customFormat="1" ht="12" customHeight="1" x14ac:dyDescent="0.2">
      <c r="A52" s="207" t="s">
        <v>91</v>
      </c>
      <c r="B52" s="6" t="s">
        <v>157</v>
      </c>
      <c r="C52" s="673">
        <f>5095010-4472339</f>
        <v>622671</v>
      </c>
      <c r="D52" s="329">
        <f>'18. sz. mell PH.'!C52+'19. sz. mell PH.'!C52+'20. sz. mell. PH.'!C52</f>
        <v>622671</v>
      </c>
      <c r="E52" s="467">
        <f t="shared" si="1"/>
        <v>0</v>
      </c>
    </row>
    <row r="53" spans="1:9" ht="12" customHeight="1" x14ac:dyDescent="0.2">
      <c r="A53" s="207" t="s">
        <v>92</v>
      </c>
      <c r="B53" s="5" t="s">
        <v>138</v>
      </c>
      <c r="C53" s="36"/>
      <c r="D53" s="329">
        <f>'18. sz. mell PH.'!C53+'19. sz. mell PH.'!C53+'20. sz. mell. PH.'!C53</f>
        <v>0</v>
      </c>
      <c r="E53" s="467">
        <f t="shared" si="1"/>
        <v>0</v>
      </c>
    </row>
    <row r="54" spans="1:9" ht="12" customHeight="1" x14ac:dyDescent="0.2">
      <c r="A54" s="207" t="s">
        <v>93</v>
      </c>
      <c r="B54" s="5" t="s">
        <v>54</v>
      </c>
      <c r="C54" s="36"/>
      <c r="D54" s="329">
        <f>'18. sz. mell PH.'!C54+'19. sz. mell PH.'!C54+'20. sz. mell. PH.'!C54</f>
        <v>0</v>
      </c>
      <c r="E54" s="467">
        <f t="shared" si="1"/>
        <v>0</v>
      </c>
    </row>
    <row r="55" spans="1:9" ht="12" customHeight="1" thickBot="1" x14ac:dyDescent="0.25">
      <c r="A55" s="207" t="s">
        <v>94</v>
      </c>
      <c r="B55" s="5" t="s">
        <v>465</v>
      </c>
      <c r="C55" s="36"/>
      <c r="D55" s="329">
        <f>'18. sz. mell PH.'!C55+'19. sz. mell PH.'!C55+'20. sz. mell. PH.'!C55</f>
        <v>0</v>
      </c>
      <c r="E55" s="467">
        <f t="shared" si="1"/>
        <v>0</v>
      </c>
    </row>
    <row r="56" spans="1:9" ht="12" customHeight="1" thickBot="1" x14ac:dyDescent="0.25">
      <c r="A56" s="74" t="s">
        <v>18</v>
      </c>
      <c r="B56" s="54" t="s">
        <v>12</v>
      </c>
      <c r="C56" s="142"/>
      <c r="D56" s="329">
        <f>'18. sz. mell PH.'!C56+'19. sz. mell PH.'!C56+'20. sz. mell. PH.'!C56</f>
        <v>0</v>
      </c>
      <c r="E56" s="467">
        <f t="shared" si="1"/>
        <v>0</v>
      </c>
    </row>
    <row r="57" spans="1:9" ht="15" customHeight="1" thickBot="1" x14ac:dyDescent="0.25">
      <c r="A57" s="74" t="s">
        <v>19</v>
      </c>
      <c r="B57" s="93" t="s">
        <v>466</v>
      </c>
      <c r="C57" s="162">
        <f>+C45+C51+C56</f>
        <v>517549134</v>
      </c>
      <c r="D57" s="329">
        <f>'18. sz. mell PH.'!C57+'19. sz. mell PH.'!C57+'20. sz. mell. PH.'!C57</f>
        <v>517549134</v>
      </c>
      <c r="E57" s="467">
        <f t="shared" si="1"/>
        <v>0</v>
      </c>
    </row>
    <row r="58" spans="1:9" ht="13.5" thickBot="1" x14ac:dyDescent="0.25">
      <c r="C58" s="163"/>
      <c r="D58" s="329">
        <f>'18. sz. mell PH.'!C58+'19. sz. mell PH.'!C58+'20. sz. mell. PH.'!C58</f>
        <v>0</v>
      </c>
      <c r="E58" s="330"/>
    </row>
    <row r="59" spans="1:9" ht="15" customHeight="1" thickBot="1" x14ac:dyDescent="0.25">
      <c r="A59" s="1376" t="s">
        <v>459</v>
      </c>
      <c r="B59" s="1377"/>
      <c r="C59" s="1082">
        <f>47.375+3</f>
        <v>50.375</v>
      </c>
      <c r="D59" s="329">
        <f>'18. sz. mell PH.'!C59+'19. sz. mell PH.'!C59+'20. sz. mell. PH.'!C59</f>
        <v>50.375</v>
      </c>
      <c r="E59" s="467">
        <f>C59-D59</f>
        <v>0</v>
      </c>
    </row>
    <row r="60" spans="1:9" x14ac:dyDescent="0.2">
      <c r="I60" s="995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L164"/>
  <sheetViews>
    <sheetView tabSelected="1" zoomScale="115" zoomScaleNormal="115" zoomScaleSheetLayoutView="115" zoomScalePageLayoutView="85" workbookViewId="0">
      <selection sqref="A1:C1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4" width="18" style="167" hidden="1" customWidth="1"/>
    <col min="5" max="5" width="14.5" style="167" hidden="1" customWidth="1"/>
    <col min="6" max="9" width="15.33203125" style="167" hidden="1" customWidth="1"/>
    <col min="10" max="10" width="11.1640625" style="167" hidden="1" customWidth="1"/>
    <col min="11" max="11" width="15.5" style="318" hidden="1" customWidth="1"/>
    <col min="12" max="12" width="17.83203125" style="319" hidden="1" customWidth="1"/>
    <col min="13" max="14" width="9.33203125" style="167" customWidth="1"/>
    <col min="15" max="16384" width="9.33203125" style="167"/>
  </cols>
  <sheetData>
    <row r="1" spans="1:12" x14ac:dyDescent="0.25">
      <c r="A1" s="1326" t="str">
        <f>CONCATENATE("1. melléklet"," ",ALAPADATOK!A7," ",ALAPADATOK!B7," ",ALAPADATOK!C7," ",ALAPADATOK!D8," ",ALAPADATOK!E7," ",ALAPADATOK!F7," ",ALAPADATOK!G7," ",ALAPADATOK!H7)</f>
        <v>1. melléklet az 5 / 2023. ( II.24. ) önkormányzati rendelethez</v>
      </c>
      <c r="B1" s="1326"/>
      <c r="C1" s="1326"/>
    </row>
    <row r="2" spans="1:12" x14ac:dyDescent="0.25">
      <c r="A2" s="612"/>
      <c r="B2" s="612"/>
      <c r="C2" s="612"/>
    </row>
    <row r="3" spans="1:12" x14ac:dyDescent="0.25">
      <c r="A3" s="1325" t="str">
        <f>CONCATENATE(ALAPADATOK!A3)</f>
        <v>Tiszavasvári Város Önkormányzat</v>
      </c>
      <c r="B3" s="1325"/>
      <c r="C3" s="1325"/>
      <c r="D3" s="1325"/>
      <c r="E3" s="1325"/>
      <c r="F3" s="1325"/>
      <c r="G3" s="1325"/>
      <c r="H3" s="1325"/>
      <c r="I3" s="1325"/>
    </row>
    <row r="4" spans="1:12" x14ac:dyDescent="0.25">
      <c r="A4" s="1324" t="str">
        <f>CONCATENATE(ALAPADATOK!D7," ÉVI KÖLTSÉGVETÉS")</f>
        <v>2022. ÉVI KÖLTSÉGVETÉS</v>
      </c>
      <c r="B4" s="1324"/>
      <c r="C4" s="1324"/>
      <c r="D4" s="1324"/>
      <c r="E4" s="1324"/>
      <c r="F4" s="1324"/>
      <c r="G4" s="1324"/>
      <c r="H4" s="1324"/>
      <c r="I4" s="1324"/>
    </row>
    <row r="5" spans="1:12" x14ac:dyDescent="0.25">
      <c r="A5" s="1324" t="s">
        <v>676</v>
      </c>
      <c r="B5" s="1324"/>
      <c r="C5" s="1324"/>
      <c r="D5" s="1324"/>
      <c r="E5" s="1324"/>
      <c r="F5" s="1324"/>
      <c r="G5" s="1324"/>
      <c r="H5" s="1324"/>
      <c r="I5" s="1324"/>
    </row>
    <row r="7" spans="1:12" ht="15.95" customHeight="1" x14ac:dyDescent="0.25">
      <c r="A7" s="1328" t="s">
        <v>13</v>
      </c>
      <c r="B7" s="1328"/>
      <c r="C7" s="1328"/>
    </row>
    <row r="8" spans="1:12" ht="15.95" customHeight="1" thickBot="1" x14ac:dyDescent="0.3">
      <c r="A8" s="912" t="s">
        <v>114</v>
      </c>
      <c r="B8" s="912"/>
      <c r="C8" s="787" t="s">
        <v>487</v>
      </c>
    </row>
    <row r="9" spans="1:12" ht="38.1" customHeight="1" thickBot="1" x14ac:dyDescent="0.3">
      <c r="A9" s="20" t="s">
        <v>63</v>
      </c>
      <c r="B9" s="21" t="s">
        <v>15</v>
      </c>
      <c r="C9" s="474" t="s">
        <v>944</v>
      </c>
      <c r="D9" s="167" t="s">
        <v>492</v>
      </c>
      <c r="E9" s="167" t="s">
        <v>493</v>
      </c>
      <c r="F9" s="167" t="s">
        <v>940</v>
      </c>
      <c r="G9" s="167" t="s">
        <v>941</v>
      </c>
      <c r="H9" s="167" t="s">
        <v>942</v>
      </c>
      <c r="I9" s="167" t="s">
        <v>943</v>
      </c>
    </row>
    <row r="10" spans="1:12" s="178" customFormat="1" ht="12" customHeight="1" thickBot="1" x14ac:dyDescent="0.25">
      <c r="A10" s="173" t="s">
        <v>385</v>
      </c>
      <c r="B10" s="174" t="s">
        <v>386</v>
      </c>
      <c r="C10" s="788" t="s">
        <v>387</v>
      </c>
      <c r="K10" s="318"/>
      <c r="L10" s="319"/>
    </row>
    <row r="11" spans="1:12" s="179" customFormat="1" ht="12" customHeight="1" thickBot="1" x14ac:dyDescent="0.25">
      <c r="A11" s="17" t="s">
        <v>16</v>
      </c>
      <c r="B11" s="18" t="s">
        <v>179</v>
      </c>
      <c r="C11" s="115">
        <f t="shared" ref="C11:C43" si="0">SUM(D11:I11)</f>
        <v>1797356954</v>
      </c>
      <c r="D11" s="257">
        <f t="shared" ref="D11:I11" si="1">+D12+D13+D14+D17+D18+D19</f>
        <v>1797356954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  <c r="K11" s="320">
        <f>'2. sz.mell. '!C11+'3. sz.mell.'!C11+'4. sz.mell. '!C11+'5. sz.mell.'!C11</f>
        <v>1797356954</v>
      </c>
      <c r="L11" s="320">
        <f t="shared" ref="L11:L75" si="2">C11-K11</f>
        <v>0</v>
      </c>
    </row>
    <row r="12" spans="1:12" s="179" customFormat="1" ht="12" customHeight="1" thickBot="1" x14ac:dyDescent="0.25">
      <c r="A12" s="12" t="s">
        <v>85</v>
      </c>
      <c r="B12" s="180" t="s">
        <v>180</v>
      </c>
      <c r="C12" s="381">
        <f>SUM(D12:I12)</f>
        <v>301236891</v>
      </c>
      <c r="D12" s="214">
        <v>301236891</v>
      </c>
      <c r="E12" s="214"/>
      <c r="F12" s="214"/>
      <c r="G12" s="214"/>
      <c r="H12" s="214"/>
      <c r="I12" s="214"/>
      <c r="K12" s="320">
        <f>'2. sz.mell. '!C12+'3. sz.mell.'!C12+'4. sz.mell. '!C12+'5. sz.mell.'!C12</f>
        <v>301236891</v>
      </c>
      <c r="L12" s="321">
        <f>C12-K12</f>
        <v>0</v>
      </c>
    </row>
    <row r="13" spans="1:12" s="179" customFormat="1" ht="12" customHeight="1" thickBot="1" x14ac:dyDescent="0.25">
      <c r="A13" s="11" t="s">
        <v>86</v>
      </c>
      <c r="B13" s="181" t="s">
        <v>181</v>
      </c>
      <c r="C13" s="666">
        <f t="shared" si="0"/>
        <v>292268671</v>
      </c>
      <c r="D13" s="114">
        <f>296342550-3287300-387000-399579</f>
        <v>292268671</v>
      </c>
      <c r="E13" s="114"/>
      <c r="F13" s="114"/>
      <c r="G13" s="114"/>
      <c r="H13" s="114"/>
      <c r="I13" s="114"/>
      <c r="K13" s="320">
        <f>'2. sz.mell. '!C13+'3. sz.mell.'!C13+'4. sz.mell. '!C13+'5. sz.mell.'!C13</f>
        <v>292268671</v>
      </c>
      <c r="L13" s="322">
        <f t="shared" si="2"/>
        <v>0</v>
      </c>
    </row>
    <row r="14" spans="1:12" s="179" customFormat="1" ht="12" customHeight="1" thickBot="1" x14ac:dyDescent="0.25">
      <c r="A14" s="11" t="s">
        <v>87</v>
      </c>
      <c r="B14" s="181" t="s">
        <v>719</v>
      </c>
      <c r="C14" s="666">
        <f t="shared" si="0"/>
        <v>1069330764</v>
      </c>
      <c r="D14" s="114">
        <f t="shared" ref="D14:I14" si="3">SUM(D15:D16)</f>
        <v>1069330764</v>
      </c>
      <c r="E14" s="114">
        <f t="shared" si="3"/>
        <v>0</v>
      </c>
      <c r="F14" s="114">
        <f t="shared" si="3"/>
        <v>0</v>
      </c>
      <c r="G14" s="114">
        <f t="shared" si="3"/>
        <v>0</v>
      </c>
      <c r="H14" s="114">
        <f t="shared" si="3"/>
        <v>0</v>
      </c>
      <c r="I14" s="114">
        <f t="shared" si="3"/>
        <v>0</v>
      </c>
      <c r="K14" s="320">
        <f>'2. sz.mell. '!C14+'3. sz.mell.'!C14+'4. sz.mell. '!C14+'5. sz.mell.'!C14</f>
        <v>1069330764</v>
      </c>
      <c r="L14" s="322">
        <f t="shared" si="2"/>
        <v>0</v>
      </c>
    </row>
    <row r="15" spans="1:12" s="179" customFormat="1" ht="12" customHeight="1" thickBot="1" x14ac:dyDescent="0.25">
      <c r="A15" s="11" t="s">
        <v>717</v>
      </c>
      <c r="B15" s="181" t="s">
        <v>720</v>
      </c>
      <c r="C15" s="666">
        <f t="shared" si="0"/>
        <v>763537895</v>
      </c>
      <c r="D15" s="114">
        <f>586051194+153930858+16247520+26373220-19064897</f>
        <v>763537895</v>
      </c>
      <c r="E15" s="114"/>
      <c r="F15" s="114"/>
      <c r="G15" s="114"/>
      <c r="H15" s="114"/>
      <c r="I15" s="114"/>
      <c r="K15" s="320">
        <f>'2. sz.mell. '!C15+'3. sz.mell.'!C15+'4. sz.mell. '!C15+'5. sz.mell.'!C15</f>
        <v>763537895</v>
      </c>
      <c r="L15" s="322">
        <f t="shared" si="2"/>
        <v>0</v>
      </c>
    </row>
    <row r="16" spans="1:12" s="179" customFormat="1" ht="12" customHeight="1" thickBot="1" x14ac:dyDescent="0.25">
      <c r="A16" s="11" t="s">
        <v>718</v>
      </c>
      <c r="B16" s="181" t="s">
        <v>721</v>
      </c>
      <c r="C16" s="666">
        <f t="shared" si="0"/>
        <v>305792869</v>
      </c>
      <c r="D16" s="114">
        <f>271004659+9943669-3548160+28503770-111069</f>
        <v>305792869</v>
      </c>
      <c r="E16" s="114"/>
      <c r="F16" s="114"/>
      <c r="G16" s="114"/>
      <c r="H16" s="114"/>
      <c r="I16" s="114"/>
      <c r="K16" s="320">
        <f>'2. sz.mell. '!C16+'3. sz.mell.'!C16+'4. sz.mell. '!C16+'5. sz.mell.'!C16</f>
        <v>305792869</v>
      </c>
      <c r="L16" s="322">
        <f t="shared" si="2"/>
        <v>0</v>
      </c>
    </row>
    <row r="17" spans="1:12" s="179" customFormat="1" ht="12" customHeight="1" thickBot="1" x14ac:dyDescent="0.25">
      <c r="A17" s="11" t="s">
        <v>88</v>
      </c>
      <c r="B17" s="181" t="s">
        <v>183</v>
      </c>
      <c r="C17" s="276">
        <f t="shared" si="0"/>
        <v>42342119</v>
      </c>
      <c r="D17" s="114">
        <f>41287119+1055000</f>
        <v>42342119</v>
      </c>
      <c r="E17" s="114"/>
      <c r="F17" s="114"/>
      <c r="G17" s="114"/>
      <c r="H17" s="114"/>
      <c r="I17" s="114"/>
      <c r="K17" s="320">
        <f>'2. sz.mell. '!C17+'3. sz.mell.'!C17+'4. sz.mell. '!C17+'5. sz.mell.'!C17</f>
        <v>42342119</v>
      </c>
      <c r="L17" s="322">
        <f t="shared" si="2"/>
        <v>0</v>
      </c>
    </row>
    <row r="18" spans="1:12" s="179" customFormat="1" ht="12" customHeight="1" thickBot="1" x14ac:dyDescent="0.25">
      <c r="A18" s="11" t="s">
        <v>111</v>
      </c>
      <c r="B18" s="106" t="s">
        <v>388</v>
      </c>
      <c r="C18" s="666">
        <f t="shared" si="0"/>
        <v>83810113</v>
      </c>
      <c r="D18" s="114">
        <f>335081987-13275647-4000000-233996227</f>
        <v>83810113</v>
      </c>
      <c r="E18" s="114"/>
      <c r="F18" s="114"/>
      <c r="G18" s="114"/>
      <c r="H18" s="114"/>
      <c r="I18" s="114"/>
      <c r="K18" s="320">
        <f>'2. sz.mell. '!C18+'3. sz.mell.'!C18+'4. sz.mell. '!C18+'5. sz.mell.'!C18</f>
        <v>83810113</v>
      </c>
      <c r="L18" s="322">
        <f t="shared" si="2"/>
        <v>0</v>
      </c>
    </row>
    <row r="19" spans="1:12" s="179" customFormat="1" ht="12" customHeight="1" thickBot="1" x14ac:dyDescent="0.25">
      <c r="A19" s="13" t="s">
        <v>89</v>
      </c>
      <c r="B19" s="107" t="s">
        <v>389</v>
      </c>
      <c r="C19" s="382">
        <f t="shared" si="0"/>
        <v>8368396</v>
      </c>
      <c r="D19" s="99">
        <v>8368396</v>
      </c>
      <c r="E19" s="111"/>
      <c r="F19" s="111"/>
      <c r="G19" s="111"/>
      <c r="H19" s="111"/>
      <c r="I19" s="111"/>
      <c r="K19" s="320">
        <f>'2. sz.mell. '!C19+'3. sz.mell.'!C19+'4. sz.mell. '!C19+'5. sz.mell.'!C19</f>
        <v>8368396</v>
      </c>
      <c r="L19" s="323">
        <f t="shared" si="2"/>
        <v>0</v>
      </c>
    </row>
    <row r="20" spans="1:12" s="179" customFormat="1" ht="12" customHeight="1" thickBot="1" x14ac:dyDescent="0.25">
      <c r="A20" s="17" t="s">
        <v>17</v>
      </c>
      <c r="B20" s="105" t="s">
        <v>184</v>
      </c>
      <c r="C20" s="115">
        <f t="shared" si="0"/>
        <v>502079781</v>
      </c>
      <c r="D20" s="257">
        <f t="shared" ref="D20:I20" si="4">+D21+D22+D23+D24+D25</f>
        <v>450703521</v>
      </c>
      <c r="E20" s="110">
        <f t="shared" si="4"/>
        <v>0</v>
      </c>
      <c r="F20" s="110">
        <f t="shared" si="4"/>
        <v>0</v>
      </c>
      <c r="G20" s="110">
        <f t="shared" si="4"/>
        <v>273480</v>
      </c>
      <c r="H20" s="110">
        <f t="shared" si="4"/>
        <v>0</v>
      </c>
      <c r="I20" s="110">
        <f t="shared" si="4"/>
        <v>51102780</v>
      </c>
      <c r="K20" s="320">
        <f>'2. sz.mell. '!C20+'3. sz.mell.'!C20+'4. sz.mell. '!C20+'5. sz.mell.'!C20</f>
        <v>502079781</v>
      </c>
      <c r="L20" s="320">
        <f t="shared" si="2"/>
        <v>0</v>
      </c>
    </row>
    <row r="21" spans="1:12" s="179" customFormat="1" ht="12" customHeight="1" thickBot="1" x14ac:dyDescent="0.25">
      <c r="A21" s="12" t="s">
        <v>91</v>
      </c>
      <c r="B21" s="180" t="s">
        <v>185</v>
      </c>
      <c r="C21" s="381">
        <f t="shared" si="0"/>
        <v>0</v>
      </c>
      <c r="D21" s="258"/>
      <c r="E21" s="112"/>
      <c r="F21" s="112"/>
      <c r="G21" s="112"/>
      <c r="H21" s="112"/>
      <c r="I21" s="112"/>
      <c r="K21" s="320">
        <f>'2. sz.mell. '!C21+'3. sz.mell.'!C21+'4. sz.mell. '!C21+'5. sz.mell.'!C21</f>
        <v>0</v>
      </c>
      <c r="L21" s="321">
        <f t="shared" si="2"/>
        <v>0</v>
      </c>
    </row>
    <row r="22" spans="1:12" s="179" customFormat="1" ht="12" customHeight="1" thickBot="1" x14ac:dyDescent="0.25">
      <c r="A22" s="11" t="s">
        <v>92</v>
      </c>
      <c r="B22" s="181" t="s">
        <v>186</v>
      </c>
      <c r="C22" s="276">
        <f t="shared" si="0"/>
        <v>0</v>
      </c>
      <c r="D22" s="99"/>
      <c r="E22" s="111"/>
      <c r="F22" s="111"/>
      <c r="G22" s="111"/>
      <c r="H22" s="111"/>
      <c r="I22" s="111"/>
      <c r="K22" s="320">
        <f>'2. sz.mell. '!C22+'3. sz.mell.'!C22+'4. sz.mell. '!C22+'5. sz.mell.'!C22</f>
        <v>0</v>
      </c>
      <c r="L22" s="322">
        <f t="shared" si="2"/>
        <v>0</v>
      </c>
    </row>
    <row r="23" spans="1:12" s="179" customFormat="1" ht="12" customHeight="1" thickBot="1" x14ac:dyDescent="0.25">
      <c r="A23" s="11" t="s">
        <v>93</v>
      </c>
      <c r="B23" s="181" t="s">
        <v>352</v>
      </c>
      <c r="C23" s="276">
        <f t="shared" si="0"/>
        <v>0</v>
      </c>
      <c r="D23" s="99"/>
      <c r="E23" s="111"/>
      <c r="F23" s="111"/>
      <c r="G23" s="111"/>
      <c r="H23" s="111"/>
      <c r="I23" s="111"/>
      <c r="K23" s="320">
        <f>'2. sz.mell. '!C23+'3. sz.mell.'!C23+'4. sz.mell. '!C23+'5. sz.mell.'!C23</f>
        <v>0</v>
      </c>
      <c r="L23" s="322">
        <f t="shared" si="2"/>
        <v>0</v>
      </c>
    </row>
    <row r="24" spans="1:12" s="179" customFormat="1" ht="12" customHeight="1" thickBot="1" x14ac:dyDescent="0.25">
      <c r="A24" s="11" t="s">
        <v>94</v>
      </c>
      <c r="B24" s="181" t="s">
        <v>353</v>
      </c>
      <c r="C24" s="276">
        <f t="shared" si="0"/>
        <v>0</v>
      </c>
      <c r="D24" s="99"/>
      <c r="E24" s="111"/>
      <c r="F24" s="111"/>
      <c r="G24" s="111"/>
      <c r="H24" s="111"/>
      <c r="I24" s="111"/>
      <c r="K24" s="320">
        <f>'2. sz.mell. '!C24+'3. sz.mell.'!C24+'4. sz.mell. '!C24+'5. sz.mell.'!C24</f>
        <v>0</v>
      </c>
      <c r="L24" s="322">
        <f t="shared" si="2"/>
        <v>0</v>
      </c>
    </row>
    <row r="25" spans="1:12" s="179" customFormat="1" ht="12" customHeight="1" thickBot="1" x14ac:dyDescent="0.25">
      <c r="A25" s="11" t="s">
        <v>95</v>
      </c>
      <c r="B25" s="181" t="s">
        <v>187</v>
      </c>
      <c r="C25" s="666">
        <f t="shared" si="0"/>
        <v>502079781</v>
      </c>
      <c r="D25" s="248">
        <f>219593831+17717899+5800000+105696182+38972292+3500000+4958699+21987230+32477388</f>
        <v>450703521</v>
      </c>
      <c r="E25" s="114"/>
      <c r="F25" s="114"/>
      <c r="G25" s="114">
        <v>273480</v>
      </c>
      <c r="H25" s="114"/>
      <c r="I25" s="36">
        <v>51102780</v>
      </c>
      <c r="K25" s="320">
        <f>'2. sz.mell. '!C25+'3. sz.mell.'!C25+'4. sz.mell. '!C25+'5. sz.mell.'!C25</f>
        <v>502079781</v>
      </c>
      <c r="L25" s="322">
        <f t="shared" si="2"/>
        <v>0</v>
      </c>
    </row>
    <row r="26" spans="1:12" s="179" customFormat="1" ht="12" customHeight="1" thickBot="1" x14ac:dyDescent="0.25">
      <c r="A26" s="13" t="s">
        <v>104</v>
      </c>
      <c r="B26" s="107" t="s">
        <v>188</v>
      </c>
      <c r="C26" s="382">
        <f t="shared" si="0"/>
        <v>132730457</v>
      </c>
      <c r="D26" s="251">
        <f>8283554+17143608+30768216+37562787+38972292</f>
        <v>132730457</v>
      </c>
      <c r="E26" s="170"/>
      <c r="F26" s="170"/>
      <c r="G26" s="170"/>
      <c r="H26" s="170"/>
      <c r="I26" s="170"/>
      <c r="K26" s="320">
        <f>'2. sz.mell. '!C26+'3. sz.mell.'!C26+'4. sz.mell. '!C26+'5. sz.mell.'!C26</f>
        <v>132730457</v>
      </c>
      <c r="L26" s="323">
        <f t="shared" si="2"/>
        <v>0</v>
      </c>
    </row>
    <row r="27" spans="1:12" s="179" customFormat="1" ht="12" customHeight="1" thickBot="1" x14ac:dyDescent="0.25">
      <c r="A27" s="17" t="s">
        <v>18</v>
      </c>
      <c r="B27" s="18" t="s">
        <v>189</v>
      </c>
      <c r="C27" s="249">
        <f t="shared" si="0"/>
        <v>1267865397</v>
      </c>
      <c r="D27" s="257">
        <f t="shared" ref="D27:I27" si="5">+D28+D29+D30+D31+D32</f>
        <v>1249004407</v>
      </c>
      <c r="E27" s="110">
        <f t="shared" si="5"/>
        <v>0</v>
      </c>
      <c r="F27" s="110">
        <f t="shared" si="5"/>
        <v>0</v>
      </c>
      <c r="G27" s="110">
        <f t="shared" si="5"/>
        <v>0</v>
      </c>
      <c r="H27" s="110">
        <f t="shared" si="5"/>
        <v>0</v>
      </c>
      <c r="I27" s="110">
        <f t="shared" si="5"/>
        <v>18860990</v>
      </c>
      <c r="K27" s="320">
        <f>'2. sz.mell. '!C27+'3. sz.mell.'!C27+'4. sz.mell. '!C27+'5. sz.mell.'!C27</f>
        <v>1267865397</v>
      </c>
      <c r="L27" s="320">
        <f t="shared" si="2"/>
        <v>0</v>
      </c>
    </row>
    <row r="28" spans="1:12" s="179" customFormat="1" ht="12" customHeight="1" thickBot="1" x14ac:dyDescent="0.25">
      <c r="A28" s="12" t="s">
        <v>74</v>
      </c>
      <c r="B28" s="180" t="s">
        <v>190</v>
      </c>
      <c r="C28" s="381">
        <f t="shared" si="0"/>
        <v>8384460</v>
      </c>
      <c r="D28" s="677">
        <f>28773000-20388540</f>
        <v>8384460</v>
      </c>
      <c r="E28" s="468"/>
      <c r="F28" s="468"/>
      <c r="G28" s="468"/>
      <c r="H28" s="468"/>
      <c r="I28" s="468"/>
      <c r="K28" s="320">
        <f>'2. sz.mell. '!C28+'3. sz.mell.'!C28+'4. sz.mell. '!C28+'5. sz.mell.'!C28</f>
        <v>8384460</v>
      </c>
      <c r="L28" s="321">
        <f t="shared" si="2"/>
        <v>0</v>
      </c>
    </row>
    <row r="29" spans="1:12" s="179" customFormat="1" ht="12" customHeight="1" thickBot="1" x14ac:dyDescent="0.25">
      <c r="A29" s="11" t="s">
        <v>75</v>
      </c>
      <c r="B29" s="181" t="s">
        <v>191</v>
      </c>
      <c r="C29" s="742">
        <f t="shared" si="0"/>
        <v>0</v>
      </c>
      <c r="D29" s="248"/>
      <c r="E29" s="114"/>
      <c r="F29" s="114"/>
      <c r="G29" s="114"/>
      <c r="H29" s="114"/>
      <c r="I29" s="114"/>
      <c r="K29" s="320">
        <f>'2. sz.mell. '!C29+'3. sz.mell.'!C29+'4. sz.mell. '!C29+'5. sz.mell.'!C29</f>
        <v>0</v>
      </c>
      <c r="L29" s="322">
        <f t="shared" si="2"/>
        <v>0</v>
      </c>
    </row>
    <row r="30" spans="1:12" s="179" customFormat="1" ht="12" customHeight="1" thickBot="1" x14ac:dyDescent="0.25">
      <c r="A30" s="11" t="s">
        <v>76</v>
      </c>
      <c r="B30" s="181" t="s">
        <v>354</v>
      </c>
      <c r="C30" s="276">
        <f t="shared" si="0"/>
        <v>0</v>
      </c>
      <c r="D30" s="248"/>
      <c r="E30" s="114"/>
      <c r="F30" s="114"/>
      <c r="G30" s="114"/>
      <c r="H30" s="114"/>
      <c r="I30" s="114"/>
      <c r="K30" s="320">
        <f>'2. sz.mell. '!C30+'3. sz.mell.'!C30+'4. sz.mell. '!C30+'5. sz.mell.'!C30</f>
        <v>0</v>
      </c>
      <c r="L30" s="322">
        <f t="shared" si="2"/>
        <v>0</v>
      </c>
    </row>
    <row r="31" spans="1:12" s="179" customFormat="1" ht="12" customHeight="1" thickBot="1" x14ac:dyDescent="0.25">
      <c r="A31" s="11" t="s">
        <v>77</v>
      </c>
      <c r="B31" s="181" t="s">
        <v>355</v>
      </c>
      <c r="C31" s="276">
        <f t="shared" si="0"/>
        <v>0</v>
      </c>
      <c r="D31" s="248"/>
      <c r="E31" s="114"/>
      <c r="F31" s="114"/>
      <c r="G31" s="114"/>
      <c r="H31" s="114"/>
      <c r="I31" s="114"/>
      <c r="K31" s="320">
        <f>'2. sz.mell. '!C31+'3. sz.mell.'!C31+'4. sz.mell. '!C31+'5. sz.mell.'!C31</f>
        <v>0</v>
      </c>
      <c r="L31" s="322">
        <f t="shared" si="2"/>
        <v>0</v>
      </c>
    </row>
    <row r="32" spans="1:12" s="179" customFormat="1" ht="12" customHeight="1" thickBot="1" x14ac:dyDescent="0.25">
      <c r="A32" s="11" t="s">
        <v>122</v>
      </c>
      <c r="B32" s="181" t="s">
        <v>192</v>
      </c>
      <c r="C32" s="276">
        <f t="shared" si="0"/>
        <v>1259480937</v>
      </c>
      <c r="D32" s="248">
        <f>242049642+141726248+780000830+106305+76736922</f>
        <v>1240619947</v>
      </c>
      <c r="E32" s="114"/>
      <c r="F32" s="114"/>
      <c r="G32" s="114"/>
      <c r="H32" s="114"/>
      <c r="I32" s="114">
        <v>18860990</v>
      </c>
      <c r="K32" s="320">
        <f>'2. sz.mell. '!C32+'3. sz.mell.'!C32+'4. sz.mell. '!C32+'5. sz.mell.'!C32</f>
        <v>1259480937</v>
      </c>
      <c r="L32" s="322">
        <f t="shared" si="2"/>
        <v>0</v>
      </c>
    </row>
    <row r="33" spans="1:12" s="179" customFormat="1" ht="12" customHeight="1" thickBot="1" x14ac:dyDescent="0.25">
      <c r="A33" s="13" t="s">
        <v>123</v>
      </c>
      <c r="B33" s="182" t="s">
        <v>193</v>
      </c>
      <c r="C33" s="382">
        <f t="shared" si="0"/>
        <v>1236223642</v>
      </c>
      <c r="D33" s="251">
        <f>228389521+12853698+806423+137436248+780000830+76736922</f>
        <v>1236223642</v>
      </c>
      <c r="E33" s="170"/>
      <c r="F33" s="170"/>
      <c r="G33" s="170"/>
      <c r="H33" s="170"/>
      <c r="I33" s="170"/>
      <c r="K33" s="320">
        <f>'2. sz.mell. '!C33+'3. sz.mell.'!C33+'4. sz.mell. '!C33+'5. sz.mell.'!C33</f>
        <v>1236223642</v>
      </c>
      <c r="L33" s="323">
        <f t="shared" si="2"/>
        <v>0</v>
      </c>
    </row>
    <row r="34" spans="1:12" s="179" customFormat="1" ht="12" customHeight="1" thickBot="1" x14ac:dyDescent="0.25">
      <c r="A34" s="17" t="s">
        <v>124</v>
      </c>
      <c r="B34" s="18" t="s">
        <v>194</v>
      </c>
      <c r="C34" s="115">
        <f t="shared" si="0"/>
        <v>474994000</v>
      </c>
      <c r="D34" s="259">
        <f t="shared" ref="D34:I34" si="6">+D35++D39+D40</f>
        <v>474994000</v>
      </c>
      <c r="E34" s="259">
        <f t="shared" si="6"/>
        <v>0</v>
      </c>
      <c r="F34" s="259">
        <f t="shared" si="6"/>
        <v>0</v>
      </c>
      <c r="G34" s="259">
        <f t="shared" si="6"/>
        <v>0</v>
      </c>
      <c r="H34" s="259">
        <f t="shared" si="6"/>
        <v>0</v>
      </c>
      <c r="I34" s="259">
        <f t="shared" si="6"/>
        <v>0</v>
      </c>
      <c r="K34" s="320">
        <f>'2. sz.mell. '!C34+'3. sz.mell.'!C34+'4. sz.mell. '!C34+'5. sz.mell.'!C34</f>
        <v>474994000</v>
      </c>
      <c r="L34" s="320">
        <f t="shared" si="2"/>
        <v>0</v>
      </c>
    </row>
    <row r="35" spans="1:12" s="179" customFormat="1" ht="12" customHeight="1" thickBot="1" x14ac:dyDescent="0.25">
      <c r="A35" s="12" t="s">
        <v>195</v>
      </c>
      <c r="B35" s="180" t="s">
        <v>562</v>
      </c>
      <c r="C35" s="1288">
        <f>SUM(D35:I35)</f>
        <v>459602000</v>
      </c>
      <c r="D35" s="271">
        <f t="shared" ref="D35:I35" si="7">SUM(D36:D37)</f>
        <v>459602000</v>
      </c>
      <c r="E35" s="271">
        <f t="shared" si="7"/>
        <v>0</v>
      </c>
      <c r="F35" s="271">
        <f t="shared" si="7"/>
        <v>0</v>
      </c>
      <c r="G35" s="271">
        <f t="shared" si="7"/>
        <v>0</v>
      </c>
      <c r="H35" s="271">
        <f t="shared" si="7"/>
        <v>0</v>
      </c>
      <c r="I35" s="271">
        <f t="shared" si="7"/>
        <v>0</v>
      </c>
      <c r="K35" s="320">
        <f>'2. sz.mell. '!C35+'3. sz.mell.'!C35+'4. sz.mell. '!C35+'5. sz.mell.'!C35</f>
        <v>459602000</v>
      </c>
      <c r="L35" s="321">
        <f t="shared" si="2"/>
        <v>0</v>
      </c>
    </row>
    <row r="36" spans="1:12" s="179" customFormat="1" ht="12" customHeight="1" thickBot="1" x14ac:dyDescent="0.25">
      <c r="A36" s="11" t="s">
        <v>196</v>
      </c>
      <c r="B36" s="181" t="s">
        <v>201</v>
      </c>
      <c r="C36" s="276">
        <f>SUM(D36:I36)</f>
        <v>90500000</v>
      </c>
      <c r="D36" s="99">
        <f>85000000+5500000</f>
        <v>90500000</v>
      </c>
      <c r="E36" s="111"/>
      <c r="F36" s="111"/>
      <c r="G36" s="111"/>
      <c r="H36" s="111"/>
      <c r="I36" s="111"/>
      <c r="K36" s="320">
        <f>'2. sz.mell. '!C36+'3. sz.mell.'!C36+'4. sz.mell. '!C36+'5. sz.mell.'!C36</f>
        <v>90500000</v>
      </c>
      <c r="L36" s="322">
        <f t="shared" si="2"/>
        <v>0</v>
      </c>
    </row>
    <row r="37" spans="1:12" s="179" customFormat="1" ht="12" customHeight="1" thickBot="1" x14ac:dyDescent="0.25">
      <c r="A37" s="11" t="s">
        <v>197</v>
      </c>
      <c r="B37" s="234" t="s">
        <v>561</v>
      </c>
      <c r="C37" s="1137">
        <f>SUM(D37:I37)</f>
        <v>369102000</v>
      </c>
      <c r="D37" s="99">
        <f>286055000+50000000+33047000</f>
        <v>369102000</v>
      </c>
      <c r="E37" s="111"/>
      <c r="F37" s="111"/>
      <c r="G37" s="111"/>
      <c r="H37" s="111"/>
      <c r="I37" s="111"/>
      <c r="K37" s="320">
        <f>'2. sz.mell. '!C37+'3. sz.mell.'!C37+'4. sz.mell. '!C37+'5. sz.mell.'!C37</f>
        <v>369102000</v>
      </c>
      <c r="L37" s="322">
        <f t="shared" si="2"/>
        <v>0</v>
      </c>
    </row>
    <row r="38" spans="1:12" s="179" customFormat="1" ht="12" customHeight="1" thickBot="1" x14ac:dyDescent="0.25">
      <c r="A38" s="11" t="s">
        <v>198</v>
      </c>
      <c r="B38" s="181" t="s">
        <v>472</v>
      </c>
      <c r="C38" s="275">
        <f>SUM(D38:I38)</f>
        <v>0</v>
      </c>
      <c r="D38" s="248"/>
      <c r="E38" s="114"/>
      <c r="F38" s="114"/>
      <c r="G38" s="114"/>
      <c r="H38" s="114"/>
      <c r="I38" s="114"/>
      <c r="K38" s="320">
        <f>'2. sz.mell. '!C38+'3. sz.mell.'!C38+'4. sz.mell. '!C38+'5. sz.mell.'!C38</f>
        <v>0</v>
      </c>
      <c r="L38" s="322">
        <f t="shared" si="2"/>
        <v>0</v>
      </c>
    </row>
    <row r="39" spans="1:12" s="179" customFormat="1" ht="12" customHeight="1" thickBot="1" x14ac:dyDescent="0.25">
      <c r="A39" s="11" t="s">
        <v>199</v>
      </c>
      <c r="B39" s="181" t="s">
        <v>203</v>
      </c>
      <c r="C39" s="1137">
        <f>SUM(D39:I39)</f>
        <v>592000</v>
      </c>
      <c r="D39" s="99">
        <v>592000</v>
      </c>
      <c r="E39" s="111"/>
      <c r="F39" s="111"/>
      <c r="G39" s="111"/>
      <c r="H39" s="111"/>
      <c r="I39" s="111"/>
      <c r="K39" s="320">
        <f>'2. sz.mell. '!C39+'3. sz.mell.'!C39+'4. sz.mell. '!C39+'5. sz.mell.'!C39</f>
        <v>592000</v>
      </c>
      <c r="L39" s="322">
        <f t="shared" si="2"/>
        <v>0</v>
      </c>
    </row>
    <row r="40" spans="1:12" s="179" customFormat="1" ht="12" customHeight="1" thickBot="1" x14ac:dyDescent="0.25">
      <c r="A40" s="13" t="s">
        <v>200</v>
      </c>
      <c r="B40" s="182" t="s">
        <v>204</v>
      </c>
      <c r="C40" s="382">
        <f t="shared" si="0"/>
        <v>14800000</v>
      </c>
      <c r="D40" s="251">
        <v>14800000</v>
      </c>
      <c r="E40" s="170"/>
      <c r="F40" s="170"/>
      <c r="G40" s="170"/>
      <c r="H40" s="170"/>
      <c r="I40" s="170"/>
      <c r="K40" s="320">
        <f>'2. sz.mell. '!C40+'3. sz.mell.'!C40+'4. sz.mell. '!C40+'5. sz.mell.'!C40</f>
        <v>14800000</v>
      </c>
      <c r="L40" s="323">
        <f t="shared" si="2"/>
        <v>0</v>
      </c>
    </row>
    <row r="41" spans="1:12" s="179" customFormat="1" ht="12" customHeight="1" thickBot="1" x14ac:dyDescent="0.25">
      <c r="A41" s="17" t="s">
        <v>20</v>
      </c>
      <c r="B41" s="18" t="s">
        <v>390</v>
      </c>
      <c r="C41" s="115">
        <f>SUM(D41:I41)</f>
        <v>362331014</v>
      </c>
      <c r="D41" s="257">
        <f t="shared" ref="D41:I41" si="8">SUM(D42:D52)</f>
        <v>88593116</v>
      </c>
      <c r="E41" s="110">
        <f t="shared" si="8"/>
        <v>53381387</v>
      </c>
      <c r="F41" s="110">
        <f t="shared" si="8"/>
        <v>12717238</v>
      </c>
      <c r="G41" s="110">
        <f t="shared" si="8"/>
        <v>16536282</v>
      </c>
      <c r="H41" s="110">
        <f t="shared" si="8"/>
        <v>1259535</v>
      </c>
      <c r="I41" s="110">
        <f t="shared" si="8"/>
        <v>189843456</v>
      </c>
      <c r="K41" s="320">
        <f>'2. sz.mell. '!C41+'3. sz.mell.'!C41+'4. sz.mell. '!C41+'5. sz.mell.'!C41</f>
        <v>362331014</v>
      </c>
      <c r="L41" s="320">
        <f t="shared" si="2"/>
        <v>0</v>
      </c>
    </row>
    <row r="42" spans="1:12" s="179" customFormat="1" ht="12" customHeight="1" thickBot="1" x14ac:dyDescent="0.25">
      <c r="A42" s="12" t="s">
        <v>78</v>
      </c>
      <c r="B42" s="180" t="s">
        <v>207</v>
      </c>
      <c r="C42" s="381">
        <f t="shared" si="0"/>
        <v>0</v>
      </c>
      <c r="D42" s="677"/>
      <c r="E42" s="214"/>
      <c r="F42" s="214"/>
      <c r="G42" s="214"/>
      <c r="H42" s="214"/>
      <c r="I42" s="214"/>
      <c r="K42" s="320">
        <f>'2. sz.mell. '!C42+'3. sz.mell.'!C42+'4. sz.mell. '!C42+'5. sz.mell.'!C42</f>
        <v>0</v>
      </c>
      <c r="L42" s="321">
        <f t="shared" si="2"/>
        <v>0</v>
      </c>
    </row>
    <row r="43" spans="1:12" s="179" customFormat="1" ht="12.75" customHeight="1" thickBot="1" x14ac:dyDescent="0.25">
      <c r="A43" s="11" t="s">
        <v>79</v>
      </c>
      <c r="B43" s="181" t="s">
        <v>208</v>
      </c>
      <c r="C43" s="276">
        <f t="shared" si="0"/>
        <v>50386273</v>
      </c>
      <c r="D43" s="248">
        <f>13481102+992926+878410</f>
        <v>15352438</v>
      </c>
      <c r="E43" s="114">
        <v>10800000</v>
      </c>
      <c r="F43" s="214">
        <v>600000</v>
      </c>
      <c r="G43" s="214">
        <v>11089435</v>
      </c>
      <c r="H43" s="214"/>
      <c r="I43" s="214">
        <v>12544400</v>
      </c>
      <c r="K43" s="320">
        <f>'2. sz.mell. '!C43+'3. sz.mell.'!C43+'4. sz.mell. '!C43+'5. sz.mell.'!C43</f>
        <v>50386273</v>
      </c>
      <c r="L43" s="322">
        <f t="shared" si="2"/>
        <v>0</v>
      </c>
    </row>
    <row r="44" spans="1:12" s="179" customFormat="1" ht="12" customHeight="1" thickBot="1" x14ac:dyDescent="0.25">
      <c r="A44" s="11" t="s">
        <v>80</v>
      </c>
      <c r="B44" s="181" t="s">
        <v>209</v>
      </c>
      <c r="C44" s="276">
        <f t="shared" ref="C44:C94" si="9">SUM(D44:I44)</f>
        <v>42434427</v>
      </c>
      <c r="D44" s="248">
        <f>13152488+250000+4500000+3000000</f>
        <v>20902488</v>
      </c>
      <c r="E44" s="114">
        <f>4904339+357600</f>
        <v>5261939</v>
      </c>
      <c r="F44" s="214">
        <v>6080000</v>
      </c>
      <c r="G44" s="214">
        <v>40000</v>
      </c>
      <c r="H44" s="214"/>
      <c r="I44" s="214">
        <v>10150000</v>
      </c>
      <c r="K44" s="320">
        <f>'2. sz.mell. '!C44+'3. sz.mell.'!C44+'4. sz.mell. '!C44+'5. sz.mell.'!C44</f>
        <v>42434427</v>
      </c>
      <c r="L44" s="322">
        <f t="shared" si="2"/>
        <v>0</v>
      </c>
    </row>
    <row r="45" spans="1:12" s="179" customFormat="1" ht="12" customHeight="1" thickBot="1" x14ac:dyDescent="0.25">
      <c r="A45" s="11" t="s">
        <v>126</v>
      </c>
      <c r="B45" s="181" t="s">
        <v>210</v>
      </c>
      <c r="C45" s="276">
        <f t="shared" si="9"/>
        <v>9500000</v>
      </c>
      <c r="D45" s="248">
        <v>9500000</v>
      </c>
      <c r="E45" s="114"/>
      <c r="F45" s="214"/>
      <c r="G45" s="214"/>
      <c r="H45" s="214"/>
      <c r="I45" s="214"/>
      <c r="K45" s="320">
        <f>'2. sz.mell. '!C45+'3. sz.mell.'!C45+'4. sz.mell. '!C45+'5. sz.mell.'!C45</f>
        <v>9500000</v>
      </c>
      <c r="L45" s="322">
        <f t="shared" si="2"/>
        <v>0</v>
      </c>
    </row>
    <row r="46" spans="1:12" s="179" customFormat="1" ht="12" customHeight="1" thickBot="1" x14ac:dyDescent="0.25">
      <c r="A46" s="11" t="s">
        <v>127</v>
      </c>
      <c r="B46" s="181" t="s">
        <v>211</v>
      </c>
      <c r="C46" s="666">
        <f>SUM(D46:I46)</f>
        <v>195595441</v>
      </c>
      <c r="D46" s="248">
        <f>4006980+5424030</f>
        <v>9431010</v>
      </c>
      <c r="E46" s="114">
        <v>18214365</v>
      </c>
      <c r="F46" s="214">
        <v>3325699</v>
      </c>
      <c r="G46" s="214"/>
      <c r="H46" s="214">
        <v>1259535</v>
      </c>
      <c r="I46" s="214">
        <v>163364832</v>
      </c>
      <c r="K46" s="320">
        <f>'2. sz.mell. '!C46+'3. sz.mell.'!C46+'4. sz.mell. '!C46+'5. sz.mell.'!C46</f>
        <v>195595441</v>
      </c>
      <c r="L46" s="322">
        <f t="shared" si="2"/>
        <v>0</v>
      </c>
    </row>
    <row r="47" spans="1:12" s="179" customFormat="1" ht="12" customHeight="1" thickBot="1" x14ac:dyDescent="0.25">
      <c r="A47" s="11" t="s">
        <v>128</v>
      </c>
      <c r="B47" s="181" t="s">
        <v>212</v>
      </c>
      <c r="C47" s="276">
        <f t="shared" si="9"/>
        <v>26334746</v>
      </c>
      <c r="D47" s="248">
        <f>8508178+335590+1215000+810000</f>
        <v>10868768</v>
      </c>
      <c r="E47" s="114">
        <f>6728050+57216</f>
        <v>6785266</v>
      </c>
      <c r="F47" s="214">
        <v>2701539</v>
      </c>
      <c r="G47" s="214">
        <v>2194949</v>
      </c>
      <c r="H47" s="214"/>
      <c r="I47" s="214">
        <v>3784224</v>
      </c>
      <c r="K47" s="320">
        <f>'2. sz.mell. '!C47+'3. sz.mell.'!C47+'4. sz.mell. '!C47+'5. sz.mell.'!C47</f>
        <v>26334746</v>
      </c>
      <c r="L47" s="322">
        <f t="shared" si="2"/>
        <v>0</v>
      </c>
    </row>
    <row r="48" spans="1:12" s="179" customFormat="1" ht="12" customHeight="1" thickBot="1" x14ac:dyDescent="0.25">
      <c r="A48" s="11" t="s">
        <v>129</v>
      </c>
      <c r="B48" s="181" t="s">
        <v>213</v>
      </c>
      <c r="C48" s="276">
        <f t="shared" si="9"/>
        <v>31678717</v>
      </c>
      <c r="D48" s="248">
        <v>19458900</v>
      </c>
      <c r="E48" s="114">
        <v>12219817</v>
      </c>
      <c r="F48" s="214"/>
      <c r="G48" s="214"/>
      <c r="H48" s="214"/>
      <c r="I48" s="214"/>
      <c r="K48" s="320">
        <f>'2. sz.mell. '!C48+'3. sz.mell.'!C48+'4. sz.mell. '!C48+'5. sz.mell.'!C48</f>
        <v>31678717</v>
      </c>
      <c r="L48" s="322">
        <f t="shared" si="2"/>
        <v>0</v>
      </c>
    </row>
    <row r="49" spans="1:12" s="179" customFormat="1" ht="12" customHeight="1" thickBot="1" x14ac:dyDescent="0.25">
      <c r="A49" s="11" t="s">
        <v>130</v>
      </c>
      <c r="B49" s="181" t="s">
        <v>477</v>
      </c>
      <c r="C49" s="276">
        <f t="shared" si="9"/>
        <v>0</v>
      </c>
      <c r="D49" s="248"/>
      <c r="E49" s="114"/>
      <c r="F49" s="214"/>
      <c r="G49" s="214"/>
      <c r="H49" s="214"/>
      <c r="I49" s="214"/>
      <c r="K49" s="320">
        <f>'2. sz.mell. '!C49+'3. sz.mell.'!C49+'4. sz.mell. '!C49+'5. sz.mell.'!C49</f>
        <v>0</v>
      </c>
      <c r="L49" s="322">
        <f t="shared" si="2"/>
        <v>0</v>
      </c>
    </row>
    <row r="50" spans="1:12" s="179" customFormat="1" ht="12" customHeight="1" thickBot="1" x14ac:dyDescent="0.25">
      <c r="A50" s="11" t="s">
        <v>205</v>
      </c>
      <c r="B50" s="181" t="s">
        <v>215</v>
      </c>
      <c r="C50" s="276">
        <f t="shared" si="9"/>
        <v>0</v>
      </c>
      <c r="D50" s="248"/>
      <c r="E50" s="114"/>
      <c r="F50" s="214"/>
      <c r="G50" s="214"/>
      <c r="H50" s="214"/>
      <c r="I50" s="214"/>
      <c r="K50" s="320">
        <f>'2. sz.mell. '!C50+'3. sz.mell.'!C50+'4. sz.mell. '!C50+'5. sz.mell.'!C50</f>
        <v>0</v>
      </c>
      <c r="L50" s="322">
        <f t="shared" si="2"/>
        <v>0</v>
      </c>
    </row>
    <row r="51" spans="1:12" s="179" customFormat="1" ht="12" customHeight="1" thickBot="1" x14ac:dyDescent="0.25">
      <c r="A51" s="13" t="s">
        <v>206</v>
      </c>
      <c r="B51" s="182" t="s">
        <v>391</v>
      </c>
      <c r="C51" s="666">
        <f t="shared" si="9"/>
        <v>1622680</v>
      </c>
      <c r="D51" s="251">
        <v>1622680</v>
      </c>
      <c r="E51" s="170"/>
      <c r="F51" s="214"/>
      <c r="G51" s="214"/>
      <c r="H51" s="214"/>
      <c r="I51" s="214"/>
      <c r="K51" s="320">
        <f>'2. sz.mell. '!C51+'3. sz.mell.'!C51+'4. sz.mell. '!C51+'5. sz.mell.'!C51</f>
        <v>1622680</v>
      </c>
      <c r="L51" s="322">
        <f t="shared" si="2"/>
        <v>0</v>
      </c>
    </row>
    <row r="52" spans="1:12" s="179" customFormat="1" ht="12" customHeight="1" thickBot="1" x14ac:dyDescent="0.25">
      <c r="A52" s="13" t="s">
        <v>392</v>
      </c>
      <c r="B52" s="107" t="s">
        <v>216</v>
      </c>
      <c r="C52" s="1245">
        <f t="shared" si="9"/>
        <v>4778730</v>
      </c>
      <c r="D52" s="251">
        <f>1107601+273261+75970</f>
        <v>1456832</v>
      </c>
      <c r="E52" s="170">
        <v>100000</v>
      </c>
      <c r="F52" s="214">
        <v>10000</v>
      </c>
      <c r="G52" s="214">
        <v>3211898</v>
      </c>
      <c r="H52" s="214"/>
      <c r="I52" s="214"/>
      <c r="K52" s="320">
        <f>'2. sz.mell. '!C52+'3. sz.mell.'!C52+'4. sz.mell. '!C52+'5. sz.mell.'!C52</f>
        <v>4778730</v>
      </c>
      <c r="L52" s="323">
        <f t="shared" si="2"/>
        <v>0</v>
      </c>
    </row>
    <row r="53" spans="1:12" s="179" customFormat="1" ht="12" customHeight="1" thickBot="1" x14ac:dyDescent="0.25">
      <c r="A53" s="17" t="s">
        <v>21</v>
      </c>
      <c r="B53" s="18" t="s">
        <v>217</v>
      </c>
      <c r="C53" s="115">
        <f t="shared" si="9"/>
        <v>48000000</v>
      </c>
      <c r="D53" s="257">
        <f t="shared" ref="D53:I53" si="10">SUM(D54:D58)</f>
        <v>48000000</v>
      </c>
      <c r="E53" s="110">
        <f t="shared" si="10"/>
        <v>0</v>
      </c>
      <c r="F53" s="110">
        <f t="shared" si="10"/>
        <v>0</v>
      </c>
      <c r="G53" s="110">
        <f t="shared" si="10"/>
        <v>0</v>
      </c>
      <c r="H53" s="110">
        <f t="shared" si="10"/>
        <v>0</v>
      </c>
      <c r="I53" s="110">
        <f t="shared" si="10"/>
        <v>0</v>
      </c>
      <c r="K53" s="320">
        <f>'2. sz.mell. '!C53+'3. sz.mell.'!C53+'4. sz.mell. '!C53+'5. sz.mell.'!C53</f>
        <v>48000000</v>
      </c>
      <c r="L53" s="320">
        <f t="shared" si="2"/>
        <v>0</v>
      </c>
    </row>
    <row r="54" spans="1:12" s="179" customFormat="1" ht="12" customHeight="1" thickBot="1" x14ac:dyDescent="0.25">
      <c r="A54" s="12" t="s">
        <v>81</v>
      </c>
      <c r="B54" s="180" t="s">
        <v>221</v>
      </c>
      <c r="C54" s="789">
        <f t="shared" si="9"/>
        <v>0</v>
      </c>
      <c r="D54" s="677"/>
      <c r="E54" s="214"/>
      <c r="F54" s="214"/>
      <c r="G54" s="214"/>
      <c r="H54" s="214"/>
      <c r="I54" s="214"/>
      <c r="K54" s="320">
        <f>'2. sz.mell. '!C54+'3. sz.mell.'!C54+'4. sz.mell. '!C54+'5. sz.mell.'!C54</f>
        <v>0</v>
      </c>
      <c r="L54" s="321">
        <f t="shared" si="2"/>
        <v>0</v>
      </c>
    </row>
    <row r="55" spans="1:12" s="179" customFormat="1" ht="12" customHeight="1" thickBot="1" x14ac:dyDescent="0.25">
      <c r="A55" s="11" t="s">
        <v>82</v>
      </c>
      <c r="B55" s="181" t="s">
        <v>222</v>
      </c>
      <c r="C55" s="276">
        <f t="shared" si="9"/>
        <v>48000000</v>
      </c>
      <c r="D55" s="248">
        <v>48000000</v>
      </c>
      <c r="E55" s="114"/>
      <c r="F55" s="114"/>
      <c r="G55" s="114"/>
      <c r="H55" s="114"/>
      <c r="I55" s="114"/>
      <c r="K55" s="320">
        <f>'2. sz.mell. '!C55+'3. sz.mell.'!C55+'4. sz.mell. '!C55+'5. sz.mell.'!C55</f>
        <v>48000000</v>
      </c>
      <c r="L55" s="322">
        <f t="shared" si="2"/>
        <v>0</v>
      </c>
    </row>
    <row r="56" spans="1:12" s="179" customFormat="1" ht="12" customHeight="1" thickBot="1" x14ac:dyDescent="0.25">
      <c r="A56" s="11" t="s">
        <v>218</v>
      </c>
      <c r="B56" s="181" t="s">
        <v>223</v>
      </c>
      <c r="C56" s="276">
        <f t="shared" si="9"/>
        <v>0</v>
      </c>
      <c r="D56" s="248"/>
      <c r="E56" s="114"/>
      <c r="F56" s="114"/>
      <c r="G56" s="114"/>
      <c r="H56" s="114"/>
      <c r="I56" s="114"/>
      <c r="K56" s="320">
        <f>'2. sz.mell. '!C56+'3. sz.mell.'!C56+'4. sz.mell. '!C56+'5. sz.mell.'!C56</f>
        <v>0</v>
      </c>
      <c r="L56" s="322">
        <f t="shared" si="2"/>
        <v>0</v>
      </c>
    </row>
    <row r="57" spans="1:12" s="179" customFormat="1" ht="12" customHeight="1" thickBot="1" x14ac:dyDescent="0.25">
      <c r="A57" s="11" t="s">
        <v>219</v>
      </c>
      <c r="B57" s="181" t="s">
        <v>224</v>
      </c>
      <c r="C57" s="276">
        <f t="shared" si="9"/>
        <v>0</v>
      </c>
      <c r="D57" s="248"/>
      <c r="E57" s="114"/>
      <c r="F57" s="114"/>
      <c r="G57" s="114"/>
      <c r="H57" s="114"/>
      <c r="I57" s="114"/>
      <c r="K57" s="320">
        <f>'2. sz.mell. '!C57+'3. sz.mell.'!C57+'4. sz.mell. '!C57+'5. sz.mell.'!C57</f>
        <v>0</v>
      </c>
      <c r="L57" s="322">
        <f t="shared" si="2"/>
        <v>0</v>
      </c>
    </row>
    <row r="58" spans="1:12" s="179" customFormat="1" ht="12" customHeight="1" thickBot="1" x14ac:dyDescent="0.25">
      <c r="A58" s="13" t="s">
        <v>220</v>
      </c>
      <c r="B58" s="107" t="s">
        <v>225</v>
      </c>
      <c r="C58" s="790">
        <f t="shared" si="9"/>
        <v>0</v>
      </c>
      <c r="D58" s="251"/>
      <c r="E58" s="170"/>
      <c r="F58" s="170"/>
      <c r="G58" s="170"/>
      <c r="H58" s="170"/>
      <c r="I58" s="170"/>
      <c r="K58" s="320">
        <f>'2. sz.mell. '!C58+'3. sz.mell.'!C58+'4. sz.mell. '!C58+'5. sz.mell.'!C58</f>
        <v>0</v>
      </c>
      <c r="L58" s="323">
        <f t="shared" si="2"/>
        <v>0</v>
      </c>
    </row>
    <row r="59" spans="1:12" s="179" customFormat="1" ht="12" customHeight="1" thickBot="1" x14ac:dyDescent="0.25">
      <c r="A59" s="17" t="s">
        <v>131</v>
      </c>
      <c r="B59" s="360" t="s">
        <v>226</v>
      </c>
      <c r="C59" s="446">
        <f t="shared" si="9"/>
        <v>3950083</v>
      </c>
      <c r="D59" s="257">
        <f t="shared" ref="D59:I59" si="11">SUM(D60:D62)</f>
        <v>3950083</v>
      </c>
      <c r="E59" s="110">
        <f t="shared" si="11"/>
        <v>0</v>
      </c>
      <c r="F59" s="110">
        <f t="shared" si="11"/>
        <v>0</v>
      </c>
      <c r="G59" s="110">
        <f t="shared" si="11"/>
        <v>0</v>
      </c>
      <c r="H59" s="110">
        <f t="shared" si="11"/>
        <v>0</v>
      </c>
      <c r="I59" s="110">
        <f t="shared" si="11"/>
        <v>0</v>
      </c>
      <c r="K59" s="320">
        <f>'2. sz.mell. '!C59+'3. sz.mell.'!C59+'4. sz.mell. '!C59+'5. sz.mell.'!C59</f>
        <v>3950083</v>
      </c>
      <c r="L59" s="320">
        <f t="shared" si="2"/>
        <v>0</v>
      </c>
    </row>
    <row r="60" spans="1:12" s="179" customFormat="1" ht="12" customHeight="1" thickBot="1" x14ac:dyDescent="0.25">
      <c r="A60" s="12" t="s">
        <v>83</v>
      </c>
      <c r="B60" s="180" t="s">
        <v>227</v>
      </c>
      <c r="C60" s="275">
        <f t="shared" si="9"/>
        <v>1000000</v>
      </c>
      <c r="D60" s="258">
        <v>1000000</v>
      </c>
      <c r="E60" s="112"/>
      <c r="F60" s="112"/>
      <c r="G60" s="112"/>
      <c r="H60" s="112"/>
      <c r="I60" s="112"/>
      <c r="K60" s="320">
        <f>'2. sz.mell. '!C60+'3. sz.mell.'!C60+'4. sz.mell. '!C60+'5. sz.mell.'!C60</f>
        <v>1000000</v>
      </c>
      <c r="L60" s="321">
        <f t="shared" si="2"/>
        <v>0</v>
      </c>
    </row>
    <row r="61" spans="1:12" s="179" customFormat="1" ht="12" customHeight="1" thickBot="1" x14ac:dyDescent="0.25">
      <c r="A61" s="11" t="s">
        <v>84</v>
      </c>
      <c r="B61" s="181" t="s">
        <v>356</v>
      </c>
      <c r="C61" s="276">
        <f t="shared" si="9"/>
        <v>200000</v>
      </c>
      <c r="D61" s="248">
        <v>200000</v>
      </c>
      <c r="E61" s="114"/>
      <c r="F61" s="114"/>
      <c r="G61" s="114"/>
      <c r="H61" s="114"/>
      <c r="I61" s="114"/>
      <c r="K61" s="320">
        <f>'2. sz.mell. '!C61+'3. sz.mell.'!C61+'4. sz.mell. '!C61+'5. sz.mell.'!C61</f>
        <v>200000</v>
      </c>
      <c r="L61" s="322">
        <f t="shared" si="2"/>
        <v>0</v>
      </c>
    </row>
    <row r="62" spans="1:12" s="179" customFormat="1" ht="12" customHeight="1" thickBot="1" x14ac:dyDescent="0.25">
      <c r="A62" s="11" t="s">
        <v>230</v>
      </c>
      <c r="B62" s="181" t="s">
        <v>228</v>
      </c>
      <c r="C62" s="666">
        <f t="shared" si="9"/>
        <v>2750083</v>
      </c>
      <c r="D62" s="248">
        <f>456096+1858000+435987</f>
        <v>2750083</v>
      </c>
      <c r="E62" s="114"/>
      <c r="F62" s="114"/>
      <c r="G62" s="114"/>
      <c r="H62" s="114"/>
      <c r="I62" s="114"/>
      <c r="K62" s="320">
        <f>'2. sz.mell. '!C62+'3. sz.mell.'!C62+'4. sz.mell. '!C62+'5. sz.mell.'!C62</f>
        <v>2750083</v>
      </c>
      <c r="L62" s="322">
        <f t="shared" si="2"/>
        <v>0</v>
      </c>
    </row>
    <row r="63" spans="1:12" s="179" customFormat="1" ht="12" customHeight="1" thickBot="1" x14ac:dyDescent="0.25">
      <c r="A63" s="13" t="s">
        <v>231</v>
      </c>
      <c r="B63" s="107" t="s">
        <v>229</v>
      </c>
      <c r="C63" s="382">
        <f t="shared" si="9"/>
        <v>0</v>
      </c>
      <c r="D63" s="100"/>
      <c r="E63" s="113"/>
      <c r="F63" s="113"/>
      <c r="G63" s="113"/>
      <c r="H63" s="113"/>
      <c r="I63" s="113"/>
      <c r="K63" s="320">
        <f>'2. sz.mell. '!C63+'3. sz.mell.'!C63+'4. sz.mell. '!C63+'5. sz.mell.'!C63</f>
        <v>0</v>
      </c>
      <c r="L63" s="323">
        <f t="shared" si="2"/>
        <v>0</v>
      </c>
    </row>
    <row r="64" spans="1:12" s="179" customFormat="1" ht="12" customHeight="1" thickBot="1" x14ac:dyDescent="0.25">
      <c r="A64" s="17" t="s">
        <v>23</v>
      </c>
      <c r="B64" s="105" t="s">
        <v>232</v>
      </c>
      <c r="C64" s="115">
        <f t="shared" si="9"/>
        <v>12220788</v>
      </c>
      <c r="D64" s="257">
        <f t="shared" ref="D64:I64" si="12">SUM(D65:D67)</f>
        <v>12220788</v>
      </c>
      <c r="E64" s="110">
        <f t="shared" si="12"/>
        <v>0</v>
      </c>
      <c r="F64" s="110">
        <f t="shared" si="12"/>
        <v>0</v>
      </c>
      <c r="G64" s="110">
        <f t="shared" si="12"/>
        <v>0</v>
      </c>
      <c r="H64" s="110">
        <f t="shared" si="12"/>
        <v>0</v>
      </c>
      <c r="I64" s="110">
        <f t="shared" si="12"/>
        <v>0</v>
      </c>
      <c r="K64" s="320">
        <f>'2. sz.mell. '!C64+'3. sz.mell.'!C64+'4. sz.mell. '!C64+'5. sz.mell.'!C64</f>
        <v>12220788</v>
      </c>
      <c r="L64" s="320">
        <f t="shared" si="2"/>
        <v>0</v>
      </c>
    </row>
    <row r="65" spans="1:12" s="179" customFormat="1" ht="12" customHeight="1" thickBot="1" x14ac:dyDescent="0.25">
      <c r="A65" s="12" t="s">
        <v>132</v>
      </c>
      <c r="B65" s="180" t="s">
        <v>234</v>
      </c>
      <c r="C65" s="789">
        <f t="shared" si="9"/>
        <v>0</v>
      </c>
      <c r="D65" s="248"/>
      <c r="E65" s="114"/>
      <c r="F65" s="114"/>
      <c r="G65" s="114"/>
      <c r="H65" s="114"/>
      <c r="I65" s="114"/>
      <c r="K65" s="320">
        <f>'2. sz.mell. '!C65+'3. sz.mell.'!C65+'4. sz.mell. '!C65+'5. sz.mell.'!C65</f>
        <v>0</v>
      </c>
      <c r="L65" s="321">
        <f t="shared" si="2"/>
        <v>0</v>
      </c>
    </row>
    <row r="66" spans="1:12" s="179" customFormat="1" ht="12" customHeight="1" thickBot="1" x14ac:dyDescent="0.25">
      <c r="A66" s="11" t="s">
        <v>133</v>
      </c>
      <c r="B66" s="181" t="s">
        <v>357</v>
      </c>
      <c r="C66" s="742">
        <f t="shared" si="9"/>
        <v>0</v>
      </c>
      <c r="D66" s="248"/>
      <c r="E66" s="114"/>
      <c r="F66" s="114"/>
      <c r="G66" s="114"/>
      <c r="H66" s="114"/>
      <c r="I66" s="114"/>
      <c r="K66" s="320">
        <f>'2. sz.mell. '!C66+'3. sz.mell.'!C66+'4. sz.mell. '!C66+'5. sz.mell.'!C66</f>
        <v>0</v>
      </c>
      <c r="L66" s="322">
        <f t="shared" si="2"/>
        <v>0</v>
      </c>
    </row>
    <row r="67" spans="1:12" s="179" customFormat="1" ht="12" customHeight="1" thickBot="1" x14ac:dyDescent="0.25">
      <c r="A67" s="11" t="s">
        <v>158</v>
      </c>
      <c r="B67" s="181" t="s">
        <v>235</v>
      </c>
      <c r="C67" s="666">
        <f t="shared" si="9"/>
        <v>12220788</v>
      </c>
      <c r="D67" s="248">
        <f>12220788</f>
        <v>12220788</v>
      </c>
      <c r="E67" s="114"/>
      <c r="F67" s="114"/>
      <c r="G67" s="114"/>
      <c r="H67" s="114"/>
      <c r="I67" s="114"/>
      <c r="K67" s="320">
        <f>'2. sz.mell. '!C67+'3. sz.mell.'!C67+'4. sz.mell. '!C67+'5. sz.mell.'!C67</f>
        <v>12220788</v>
      </c>
      <c r="L67" s="322">
        <f t="shared" si="2"/>
        <v>0</v>
      </c>
    </row>
    <row r="68" spans="1:12" s="179" customFormat="1" ht="12" customHeight="1" thickBot="1" x14ac:dyDescent="0.25">
      <c r="A68" s="13" t="s">
        <v>233</v>
      </c>
      <c r="B68" s="107" t="s">
        <v>236</v>
      </c>
      <c r="C68" s="382">
        <f t="shared" si="9"/>
        <v>0</v>
      </c>
      <c r="D68" s="248"/>
      <c r="E68" s="114"/>
      <c r="F68" s="114"/>
      <c r="G68" s="114"/>
      <c r="H68" s="114"/>
      <c r="I68" s="114"/>
      <c r="K68" s="320">
        <f>'2. sz.mell. '!C68+'3. sz.mell.'!C68+'4. sz.mell. '!C68+'5. sz.mell.'!C68</f>
        <v>0</v>
      </c>
      <c r="L68" s="323">
        <f t="shared" si="2"/>
        <v>0</v>
      </c>
    </row>
    <row r="69" spans="1:12" s="179" customFormat="1" ht="12" customHeight="1" thickBot="1" x14ac:dyDescent="0.25">
      <c r="A69" s="235" t="s">
        <v>393</v>
      </c>
      <c r="B69" s="18" t="s">
        <v>237</v>
      </c>
      <c r="C69" s="115">
        <f>SUM(D69:I69)</f>
        <v>4468798017</v>
      </c>
      <c r="D69" s="259">
        <f t="shared" ref="D69:I69" si="13">+D11+D20+D27+D34+D41+D53+D59+D64</f>
        <v>4124822869</v>
      </c>
      <c r="E69" s="115">
        <f t="shared" si="13"/>
        <v>53381387</v>
      </c>
      <c r="F69" s="115">
        <f t="shared" si="13"/>
        <v>12717238</v>
      </c>
      <c r="G69" s="115">
        <f t="shared" si="13"/>
        <v>16809762</v>
      </c>
      <c r="H69" s="115">
        <f t="shared" si="13"/>
        <v>1259535</v>
      </c>
      <c r="I69" s="115">
        <f t="shared" si="13"/>
        <v>259807226</v>
      </c>
      <c r="K69" s="320">
        <f>'2. sz.mell. '!C69+'3. sz.mell.'!C69+'4. sz.mell. '!C69+'5. sz.mell.'!C69</f>
        <v>4468798017</v>
      </c>
      <c r="L69" s="320">
        <f t="shared" si="2"/>
        <v>0</v>
      </c>
    </row>
    <row r="70" spans="1:12" s="179" customFormat="1" ht="12" customHeight="1" thickBot="1" x14ac:dyDescent="0.25">
      <c r="A70" s="236" t="s">
        <v>238</v>
      </c>
      <c r="B70" s="105" t="s">
        <v>239</v>
      </c>
      <c r="C70" s="115">
        <f t="shared" si="9"/>
        <v>1217733250</v>
      </c>
      <c r="D70" s="257">
        <f t="shared" ref="D70:I70" si="14">SUM(D71:D73)</f>
        <v>1217733250</v>
      </c>
      <c r="E70" s="110">
        <f t="shared" si="14"/>
        <v>0</v>
      </c>
      <c r="F70" s="110">
        <f t="shared" si="14"/>
        <v>0</v>
      </c>
      <c r="G70" s="110">
        <f t="shared" si="14"/>
        <v>0</v>
      </c>
      <c r="H70" s="110">
        <f t="shared" si="14"/>
        <v>0</v>
      </c>
      <c r="I70" s="110">
        <f t="shared" si="14"/>
        <v>0</v>
      </c>
      <c r="K70" s="320">
        <f>'2. sz.mell. '!C70+'3. sz.mell.'!C70+'4. sz.mell. '!C70+'5. sz.mell.'!C70</f>
        <v>1217733250</v>
      </c>
      <c r="L70" s="320">
        <f t="shared" si="2"/>
        <v>0</v>
      </c>
    </row>
    <row r="71" spans="1:12" s="179" customFormat="1" ht="12" customHeight="1" thickBot="1" x14ac:dyDescent="0.25">
      <c r="A71" s="12" t="s">
        <v>270</v>
      </c>
      <c r="B71" s="180" t="s">
        <v>240</v>
      </c>
      <c r="C71" s="381">
        <f t="shared" si="9"/>
        <v>167733250</v>
      </c>
      <c r="D71" s="248">
        <f>187733250-20000000</f>
        <v>167733250</v>
      </c>
      <c r="E71" s="114"/>
      <c r="F71" s="114"/>
      <c r="G71" s="114"/>
      <c r="H71" s="114"/>
      <c r="I71" s="114"/>
      <c r="K71" s="320">
        <f>'2. sz.mell. '!C71+'3. sz.mell.'!C71+'4. sz.mell. '!C71+'5. sz.mell.'!C71</f>
        <v>167733250</v>
      </c>
      <c r="L71" s="321">
        <f t="shared" si="2"/>
        <v>0</v>
      </c>
    </row>
    <row r="72" spans="1:12" s="179" customFormat="1" ht="12" customHeight="1" thickBot="1" x14ac:dyDescent="0.25">
      <c r="A72" s="11" t="s">
        <v>279</v>
      </c>
      <c r="B72" s="181" t="s">
        <v>241</v>
      </c>
      <c r="C72" s="276">
        <f t="shared" si="9"/>
        <v>1050000000</v>
      </c>
      <c r="D72" s="248">
        <f>1000000000+50000000</f>
        <v>1050000000</v>
      </c>
      <c r="E72" s="114"/>
      <c r="F72" s="114"/>
      <c r="G72" s="114"/>
      <c r="H72" s="114"/>
      <c r="I72" s="114"/>
      <c r="K72" s="320">
        <f>'2. sz.mell. '!C72+'3. sz.mell.'!C72+'4. sz.mell. '!C72+'5. sz.mell.'!C72</f>
        <v>1050000000</v>
      </c>
      <c r="L72" s="322">
        <f t="shared" si="2"/>
        <v>0</v>
      </c>
    </row>
    <row r="73" spans="1:12" s="179" customFormat="1" ht="12" customHeight="1" thickBot="1" x14ac:dyDescent="0.25">
      <c r="A73" s="13" t="s">
        <v>280</v>
      </c>
      <c r="B73" s="237" t="s">
        <v>394</v>
      </c>
      <c r="C73" s="790">
        <f t="shared" si="9"/>
        <v>0</v>
      </c>
      <c r="D73" s="248"/>
      <c r="E73" s="114"/>
      <c r="F73" s="114"/>
      <c r="G73" s="114"/>
      <c r="H73" s="114"/>
      <c r="I73" s="114"/>
      <c r="K73" s="320">
        <f>'2. sz.mell. '!C73+'3. sz.mell.'!C73+'4. sz.mell. '!C73+'5. sz.mell.'!C73</f>
        <v>0</v>
      </c>
      <c r="L73" s="323">
        <f t="shared" si="2"/>
        <v>0</v>
      </c>
    </row>
    <row r="74" spans="1:12" s="179" customFormat="1" ht="12" customHeight="1" thickBot="1" x14ac:dyDescent="0.25">
      <c r="A74" s="236" t="s">
        <v>243</v>
      </c>
      <c r="B74" s="105" t="s">
        <v>244</v>
      </c>
      <c r="C74" s="115">
        <f t="shared" si="9"/>
        <v>0</v>
      </c>
      <c r="D74" s="257">
        <f t="shared" ref="D74:I74" si="15">SUM(D75:D78)</f>
        <v>0</v>
      </c>
      <c r="E74" s="110">
        <f t="shared" si="15"/>
        <v>0</v>
      </c>
      <c r="F74" s="110">
        <f t="shared" si="15"/>
        <v>0</v>
      </c>
      <c r="G74" s="110">
        <f t="shared" si="15"/>
        <v>0</v>
      </c>
      <c r="H74" s="110">
        <f t="shared" si="15"/>
        <v>0</v>
      </c>
      <c r="I74" s="110">
        <f t="shared" si="15"/>
        <v>0</v>
      </c>
      <c r="K74" s="320">
        <f>'2. sz.mell. '!C74+'3. sz.mell.'!C74+'4. sz.mell. '!C74+'5. sz.mell.'!C74</f>
        <v>0</v>
      </c>
      <c r="L74" s="320">
        <f t="shared" si="2"/>
        <v>0</v>
      </c>
    </row>
    <row r="75" spans="1:12" s="179" customFormat="1" ht="12" customHeight="1" thickBot="1" x14ac:dyDescent="0.25">
      <c r="A75" s="12" t="s">
        <v>112</v>
      </c>
      <c r="B75" s="180" t="s">
        <v>245</v>
      </c>
      <c r="C75" s="789">
        <f t="shared" si="9"/>
        <v>0</v>
      </c>
      <c r="D75" s="248"/>
      <c r="E75" s="114"/>
      <c r="F75" s="114"/>
      <c r="G75" s="114"/>
      <c r="H75" s="114"/>
      <c r="I75" s="114"/>
      <c r="K75" s="320">
        <f>'2. sz.mell. '!C75+'3. sz.mell.'!C75+'4. sz.mell. '!C75+'5. sz.mell.'!C75</f>
        <v>0</v>
      </c>
      <c r="L75" s="321">
        <f t="shared" si="2"/>
        <v>0</v>
      </c>
    </row>
    <row r="76" spans="1:12" s="179" customFormat="1" ht="12" customHeight="1" thickBot="1" x14ac:dyDescent="0.25">
      <c r="A76" s="11" t="s">
        <v>113</v>
      </c>
      <c r="B76" s="181" t="s">
        <v>745</v>
      </c>
      <c r="C76" s="742">
        <f t="shared" si="9"/>
        <v>0</v>
      </c>
      <c r="D76" s="248"/>
      <c r="E76" s="114"/>
      <c r="F76" s="114"/>
      <c r="G76" s="114"/>
      <c r="H76" s="114"/>
      <c r="I76" s="114"/>
      <c r="K76" s="320">
        <f>'2. sz.mell. '!C76+'3. sz.mell.'!C76+'4. sz.mell. '!C76+'5. sz.mell.'!C76</f>
        <v>0</v>
      </c>
      <c r="L76" s="322">
        <f t="shared" ref="L76:L94" si="16">C76-K76</f>
        <v>0</v>
      </c>
    </row>
    <row r="77" spans="1:12" s="179" customFormat="1" ht="12" customHeight="1" thickBot="1" x14ac:dyDescent="0.25">
      <c r="A77" s="11" t="s">
        <v>271</v>
      </c>
      <c r="B77" s="181" t="s">
        <v>247</v>
      </c>
      <c r="C77" s="742">
        <f t="shared" si="9"/>
        <v>0</v>
      </c>
      <c r="D77" s="248"/>
      <c r="E77" s="114"/>
      <c r="F77" s="114"/>
      <c r="G77" s="114"/>
      <c r="H77" s="114"/>
      <c r="I77" s="114"/>
      <c r="K77" s="320">
        <f>'2. sz.mell. '!C77+'3. sz.mell.'!C77+'4. sz.mell. '!C77+'5. sz.mell.'!C77</f>
        <v>0</v>
      </c>
      <c r="L77" s="322">
        <f t="shared" si="16"/>
        <v>0</v>
      </c>
    </row>
    <row r="78" spans="1:12" s="179" customFormat="1" ht="12" customHeight="1" thickBot="1" x14ac:dyDescent="0.25">
      <c r="A78" s="13" t="s">
        <v>272</v>
      </c>
      <c r="B78" s="107" t="s">
        <v>746</v>
      </c>
      <c r="C78" s="790">
        <f t="shared" si="9"/>
        <v>0</v>
      </c>
      <c r="D78" s="248"/>
      <c r="E78" s="114"/>
      <c r="F78" s="114"/>
      <c r="G78" s="114"/>
      <c r="H78" s="114"/>
      <c r="I78" s="114"/>
      <c r="K78" s="320">
        <f>'2. sz.mell. '!C78+'3. sz.mell.'!C78+'4. sz.mell. '!C78+'5. sz.mell.'!C78</f>
        <v>0</v>
      </c>
      <c r="L78" s="323">
        <f t="shared" si="16"/>
        <v>0</v>
      </c>
    </row>
    <row r="79" spans="1:12" s="179" customFormat="1" ht="12" customHeight="1" thickBot="1" x14ac:dyDescent="0.25">
      <c r="A79" s="236" t="s">
        <v>249</v>
      </c>
      <c r="B79" s="105" t="s">
        <v>250</v>
      </c>
      <c r="C79" s="115">
        <f t="shared" si="9"/>
        <v>2438161695</v>
      </c>
      <c r="D79" s="257">
        <f t="shared" ref="D79:I79" si="17">SUM(D80:D81)</f>
        <v>2382072581</v>
      </c>
      <c r="E79" s="110">
        <f t="shared" si="17"/>
        <v>383395</v>
      </c>
      <c r="F79" s="110">
        <f t="shared" si="17"/>
        <v>127382</v>
      </c>
      <c r="G79" s="110">
        <f t="shared" si="17"/>
        <v>1498662</v>
      </c>
      <c r="H79" s="110">
        <f t="shared" si="17"/>
        <v>82725</v>
      </c>
      <c r="I79" s="110">
        <f t="shared" si="17"/>
        <v>53996950</v>
      </c>
      <c r="K79" s="320">
        <f>'2. sz.mell. '!C79+'3. sz.mell.'!C79+'4. sz.mell. '!C79+'5. sz.mell.'!C79</f>
        <v>2438161695</v>
      </c>
      <c r="L79" s="320">
        <f t="shared" si="16"/>
        <v>0</v>
      </c>
    </row>
    <row r="80" spans="1:12" s="179" customFormat="1" ht="12" customHeight="1" thickBot="1" x14ac:dyDescent="0.25">
      <c r="A80" s="12" t="s">
        <v>273</v>
      </c>
      <c r="B80" s="180" t="s">
        <v>251</v>
      </c>
      <c r="C80" s="381">
        <f t="shared" si="9"/>
        <v>2438161695</v>
      </c>
      <c r="D80" s="248">
        <f>2381931880+140701</f>
        <v>2382072581</v>
      </c>
      <c r="E80" s="114">
        <v>383395</v>
      </c>
      <c r="F80" s="114">
        <v>127382</v>
      </c>
      <c r="G80" s="114">
        <v>1498662</v>
      </c>
      <c r="H80" s="114">
        <v>82725</v>
      </c>
      <c r="I80" s="114">
        <v>53996950</v>
      </c>
      <c r="K80" s="320">
        <f>'2. sz.mell. '!C80+'3. sz.mell.'!C80+'4. sz.mell. '!C80+'5. sz.mell.'!C80</f>
        <v>2438161695</v>
      </c>
      <c r="L80" s="321">
        <f t="shared" si="16"/>
        <v>0</v>
      </c>
    </row>
    <row r="81" spans="1:12" s="179" customFormat="1" ht="12" customHeight="1" thickBot="1" x14ac:dyDescent="0.25">
      <c r="A81" s="13" t="s">
        <v>274</v>
      </c>
      <c r="B81" s="107" t="s">
        <v>252</v>
      </c>
      <c r="C81" s="790">
        <f t="shared" si="9"/>
        <v>0</v>
      </c>
      <c r="D81" s="248"/>
      <c r="E81" s="114"/>
      <c r="F81" s="114"/>
      <c r="G81" s="114"/>
      <c r="H81" s="114"/>
      <c r="I81" s="114"/>
      <c r="K81" s="320">
        <f>'2. sz.mell. '!C81+'3. sz.mell.'!C81+'4. sz.mell. '!C81+'5. sz.mell.'!C81</f>
        <v>0</v>
      </c>
      <c r="L81" s="323">
        <f t="shared" si="16"/>
        <v>0</v>
      </c>
    </row>
    <row r="82" spans="1:12" s="179" customFormat="1" ht="12" customHeight="1" thickBot="1" x14ac:dyDescent="0.25">
      <c r="A82" s="236" t="s">
        <v>253</v>
      </c>
      <c r="B82" s="105" t="s">
        <v>254</v>
      </c>
      <c r="C82" s="115">
        <f t="shared" si="9"/>
        <v>61842606</v>
      </c>
      <c r="D82" s="257">
        <f t="shared" ref="D82:I82" si="18">SUM(D83:D85)</f>
        <v>61842606</v>
      </c>
      <c r="E82" s="110">
        <f t="shared" si="18"/>
        <v>0</v>
      </c>
      <c r="F82" s="110">
        <f t="shared" si="18"/>
        <v>0</v>
      </c>
      <c r="G82" s="110">
        <f t="shared" si="18"/>
        <v>0</v>
      </c>
      <c r="H82" s="110">
        <f t="shared" si="18"/>
        <v>0</v>
      </c>
      <c r="I82" s="110">
        <f t="shared" si="18"/>
        <v>0</v>
      </c>
      <c r="K82" s="320">
        <f>'2. sz.mell. '!C82+'3. sz.mell.'!C82+'4. sz.mell. '!C82+'5. sz.mell.'!C82</f>
        <v>61842606</v>
      </c>
      <c r="L82" s="320">
        <f t="shared" si="16"/>
        <v>0</v>
      </c>
    </row>
    <row r="83" spans="1:12" s="179" customFormat="1" ht="12" customHeight="1" thickBot="1" x14ac:dyDescent="0.25">
      <c r="A83" s="12" t="s">
        <v>275</v>
      </c>
      <c r="B83" s="180" t="s">
        <v>255</v>
      </c>
      <c r="C83" s="1288">
        <f t="shared" si="9"/>
        <v>61842606</v>
      </c>
      <c r="D83" s="248">
        <f>55076107+6766499</f>
        <v>61842606</v>
      </c>
      <c r="E83" s="114"/>
      <c r="F83" s="114"/>
      <c r="G83" s="114"/>
      <c r="H83" s="114"/>
      <c r="I83" s="114"/>
      <c r="K83" s="320">
        <f>'2. sz.mell. '!C83+'3. sz.mell.'!C83+'4. sz.mell. '!C83+'5. sz.mell.'!C83</f>
        <v>61842606</v>
      </c>
      <c r="L83" s="321">
        <f t="shared" si="16"/>
        <v>0</v>
      </c>
    </row>
    <row r="84" spans="1:12" s="179" customFormat="1" ht="12" customHeight="1" thickBot="1" x14ac:dyDescent="0.25">
      <c r="A84" s="11" t="s">
        <v>276</v>
      </c>
      <c r="B84" s="181" t="s">
        <v>256</v>
      </c>
      <c r="C84" s="742">
        <f t="shared" si="9"/>
        <v>0</v>
      </c>
      <c r="D84" s="248"/>
      <c r="E84" s="114"/>
      <c r="F84" s="114"/>
      <c r="G84" s="114"/>
      <c r="H84" s="114"/>
      <c r="I84" s="114"/>
      <c r="K84" s="320">
        <f>'2. sz.mell. '!C84+'3. sz.mell.'!C84+'4. sz.mell. '!C84+'5. sz.mell.'!C84</f>
        <v>0</v>
      </c>
      <c r="L84" s="322">
        <f t="shared" si="16"/>
        <v>0</v>
      </c>
    </row>
    <row r="85" spans="1:12" s="179" customFormat="1" ht="12" customHeight="1" thickBot="1" x14ac:dyDescent="0.25">
      <c r="A85" s="13" t="s">
        <v>277</v>
      </c>
      <c r="B85" s="107" t="s">
        <v>747</v>
      </c>
      <c r="C85" s="790">
        <f t="shared" si="9"/>
        <v>0</v>
      </c>
      <c r="D85" s="248"/>
      <c r="E85" s="114"/>
      <c r="F85" s="114"/>
      <c r="G85" s="114"/>
      <c r="H85" s="114"/>
      <c r="I85" s="114"/>
      <c r="K85" s="320">
        <f>'2. sz.mell. '!C85+'3. sz.mell.'!C85+'4. sz.mell. '!C85+'5. sz.mell.'!C85</f>
        <v>0</v>
      </c>
      <c r="L85" s="323">
        <f t="shared" si="16"/>
        <v>0</v>
      </c>
    </row>
    <row r="86" spans="1:12" s="179" customFormat="1" ht="12" customHeight="1" thickBot="1" x14ac:dyDescent="0.25">
      <c r="A86" s="236" t="s">
        <v>258</v>
      </c>
      <c r="B86" s="105" t="s">
        <v>278</v>
      </c>
      <c r="C86" s="115">
        <f t="shared" si="9"/>
        <v>0</v>
      </c>
      <c r="D86" s="257">
        <f t="shared" ref="D86:I86" si="19">SUM(D87:D90)</f>
        <v>0</v>
      </c>
      <c r="E86" s="110">
        <f t="shared" si="19"/>
        <v>0</v>
      </c>
      <c r="F86" s="110">
        <f t="shared" si="19"/>
        <v>0</v>
      </c>
      <c r="G86" s="110">
        <f t="shared" si="19"/>
        <v>0</v>
      </c>
      <c r="H86" s="110">
        <f t="shared" si="19"/>
        <v>0</v>
      </c>
      <c r="I86" s="110">
        <f t="shared" si="19"/>
        <v>0</v>
      </c>
      <c r="K86" s="320">
        <f>'2. sz.mell. '!C86+'3. sz.mell.'!C86+'4. sz.mell. '!C86+'5. sz.mell.'!C86</f>
        <v>0</v>
      </c>
      <c r="L86" s="320">
        <f t="shared" si="16"/>
        <v>0</v>
      </c>
    </row>
    <row r="87" spans="1:12" s="179" customFormat="1" ht="12" customHeight="1" thickBot="1" x14ac:dyDescent="0.25">
      <c r="A87" s="184" t="s">
        <v>259</v>
      </c>
      <c r="B87" s="180" t="s">
        <v>260</v>
      </c>
      <c r="C87" s="789">
        <f t="shared" si="9"/>
        <v>0</v>
      </c>
      <c r="D87" s="248"/>
      <c r="E87" s="114"/>
      <c r="F87" s="114"/>
      <c r="G87" s="114"/>
      <c r="H87" s="114"/>
      <c r="I87" s="114"/>
      <c r="K87" s="320">
        <f>'2. sz.mell. '!C87+'3. sz.mell.'!C87+'4. sz.mell. '!C87+'5. sz.mell.'!C87</f>
        <v>0</v>
      </c>
      <c r="L87" s="321">
        <f t="shared" si="16"/>
        <v>0</v>
      </c>
    </row>
    <row r="88" spans="1:12" s="179" customFormat="1" ht="12" customHeight="1" thickBot="1" x14ac:dyDescent="0.25">
      <c r="A88" s="185" t="s">
        <v>261</v>
      </c>
      <c r="B88" s="181" t="s">
        <v>262</v>
      </c>
      <c r="C88" s="742">
        <f t="shared" si="9"/>
        <v>0</v>
      </c>
      <c r="D88" s="248"/>
      <c r="E88" s="114"/>
      <c r="F88" s="114"/>
      <c r="G88" s="114"/>
      <c r="H88" s="114"/>
      <c r="I88" s="114"/>
      <c r="K88" s="320">
        <f>'2. sz.mell. '!C88+'3. sz.mell.'!C88+'4. sz.mell. '!C88+'5. sz.mell.'!C88</f>
        <v>0</v>
      </c>
      <c r="L88" s="322">
        <f t="shared" si="16"/>
        <v>0</v>
      </c>
    </row>
    <row r="89" spans="1:12" s="179" customFormat="1" ht="12" customHeight="1" thickBot="1" x14ac:dyDescent="0.25">
      <c r="A89" s="185" t="s">
        <v>263</v>
      </c>
      <c r="B89" s="181" t="s">
        <v>264</v>
      </c>
      <c r="C89" s="742">
        <f t="shared" si="9"/>
        <v>0</v>
      </c>
      <c r="D89" s="248"/>
      <c r="E89" s="114"/>
      <c r="F89" s="114"/>
      <c r="G89" s="114"/>
      <c r="H89" s="114"/>
      <c r="I89" s="114"/>
      <c r="K89" s="320">
        <f>'2. sz.mell. '!C89+'3. sz.mell.'!C89+'4. sz.mell. '!C89+'5. sz.mell.'!C89</f>
        <v>0</v>
      </c>
      <c r="L89" s="322">
        <f t="shared" si="16"/>
        <v>0</v>
      </c>
    </row>
    <row r="90" spans="1:12" s="179" customFormat="1" ht="12" customHeight="1" thickBot="1" x14ac:dyDescent="0.25">
      <c r="A90" s="186" t="s">
        <v>265</v>
      </c>
      <c r="B90" s="107" t="s">
        <v>266</v>
      </c>
      <c r="C90" s="790">
        <f t="shared" si="9"/>
        <v>0</v>
      </c>
      <c r="D90" s="248"/>
      <c r="E90" s="114"/>
      <c r="F90" s="114"/>
      <c r="G90" s="114"/>
      <c r="H90" s="114"/>
      <c r="I90" s="114"/>
      <c r="K90" s="320">
        <f>'2. sz.mell. '!C90+'3. sz.mell.'!C90+'4. sz.mell. '!C90+'5. sz.mell.'!C90</f>
        <v>0</v>
      </c>
      <c r="L90" s="323">
        <f t="shared" si="16"/>
        <v>0</v>
      </c>
    </row>
    <row r="91" spans="1:12" s="179" customFormat="1" ht="12" customHeight="1" thickBot="1" x14ac:dyDescent="0.25">
      <c r="A91" s="236" t="s">
        <v>267</v>
      </c>
      <c r="B91" s="105" t="s">
        <v>395</v>
      </c>
      <c r="C91" s="115">
        <f t="shared" si="9"/>
        <v>0</v>
      </c>
      <c r="D91" s="260"/>
      <c r="E91" s="215"/>
      <c r="F91" s="215"/>
      <c r="G91" s="215"/>
      <c r="H91" s="215"/>
      <c r="I91" s="215"/>
      <c r="K91" s="320">
        <f>'2. sz.mell. '!C91+'3. sz.mell.'!C91+'4. sz.mell. '!C91+'5. sz.mell.'!C91</f>
        <v>0</v>
      </c>
      <c r="L91" s="320">
        <f t="shared" si="16"/>
        <v>0</v>
      </c>
    </row>
    <row r="92" spans="1:12" s="179" customFormat="1" ht="13.5" customHeight="1" thickBot="1" x14ac:dyDescent="0.25">
      <c r="A92" s="236" t="s">
        <v>269</v>
      </c>
      <c r="B92" s="105" t="s">
        <v>268</v>
      </c>
      <c r="C92" s="115">
        <f t="shared" si="9"/>
        <v>0</v>
      </c>
      <c r="D92" s="260"/>
      <c r="E92" s="215"/>
      <c r="F92" s="215"/>
      <c r="G92" s="215"/>
      <c r="H92" s="215"/>
      <c r="I92" s="215"/>
      <c r="K92" s="320">
        <f>'2. sz.mell. '!C92+'3. sz.mell.'!C92+'4. sz.mell. '!C92+'5. sz.mell.'!C92</f>
        <v>0</v>
      </c>
      <c r="L92" s="320">
        <f t="shared" si="16"/>
        <v>0</v>
      </c>
    </row>
    <row r="93" spans="1:12" s="179" customFormat="1" ht="15.75" customHeight="1" thickBot="1" x14ac:dyDescent="0.25">
      <c r="A93" s="236" t="s">
        <v>281</v>
      </c>
      <c r="B93" s="187" t="s">
        <v>396</v>
      </c>
      <c r="C93" s="115">
        <f t="shared" si="9"/>
        <v>3717737551</v>
      </c>
      <c r="D93" s="259">
        <f t="shared" ref="D93:I93" si="20">+D70+D74+D79+D82+D86+D92+D91</f>
        <v>3661648437</v>
      </c>
      <c r="E93" s="115">
        <f t="shared" si="20"/>
        <v>383395</v>
      </c>
      <c r="F93" s="115">
        <f t="shared" si="20"/>
        <v>127382</v>
      </c>
      <c r="G93" s="115">
        <f t="shared" si="20"/>
        <v>1498662</v>
      </c>
      <c r="H93" s="115">
        <f t="shared" si="20"/>
        <v>82725</v>
      </c>
      <c r="I93" s="115">
        <f t="shared" si="20"/>
        <v>53996950</v>
      </c>
      <c r="K93" s="320">
        <f>'2. sz.mell. '!C93+'3. sz.mell.'!C93+'4. sz.mell. '!C93+'5. sz.mell.'!C93</f>
        <v>3717737551</v>
      </c>
      <c r="L93" s="320">
        <f t="shared" si="16"/>
        <v>0</v>
      </c>
    </row>
    <row r="94" spans="1:12" s="179" customFormat="1" ht="16.5" customHeight="1" thickBot="1" x14ac:dyDescent="0.25">
      <c r="A94" s="238" t="s">
        <v>397</v>
      </c>
      <c r="B94" s="188" t="s">
        <v>398</v>
      </c>
      <c r="C94" s="115">
        <f t="shared" si="9"/>
        <v>8186535568</v>
      </c>
      <c r="D94" s="259">
        <f t="shared" ref="D94:I94" si="21">+D69+D93</f>
        <v>7786471306</v>
      </c>
      <c r="E94" s="115">
        <f t="shared" si="21"/>
        <v>53764782</v>
      </c>
      <c r="F94" s="115">
        <f t="shared" si="21"/>
        <v>12844620</v>
      </c>
      <c r="G94" s="115">
        <f t="shared" si="21"/>
        <v>18308424</v>
      </c>
      <c r="H94" s="115">
        <f t="shared" si="21"/>
        <v>1342260</v>
      </c>
      <c r="I94" s="115">
        <f t="shared" si="21"/>
        <v>313804176</v>
      </c>
      <c r="K94" s="320">
        <f>'2. sz.mell. '!C94+'3. sz.mell.'!C94+'4. sz.mell. '!C94+'5. sz.mell.'!C94</f>
        <v>8186535568</v>
      </c>
      <c r="L94" s="320">
        <f t="shared" si="16"/>
        <v>0</v>
      </c>
    </row>
    <row r="95" spans="1:12" ht="16.5" customHeight="1" x14ac:dyDescent="0.25">
      <c r="A95" s="1328" t="s">
        <v>44</v>
      </c>
      <c r="B95" s="1328"/>
      <c r="C95" s="1328"/>
      <c r="D95" s="283"/>
      <c r="K95" s="1289"/>
      <c r="L95" s="318"/>
    </row>
    <row r="96" spans="1:12" ht="16.5" customHeight="1" thickBot="1" x14ac:dyDescent="0.3">
      <c r="A96" s="1329" t="s">
        <v>115</v>
      </c>
      <c r="B96" s="1329"/>
      <c r="C96" s="743" t="s">
        <v>487</v>
      </c>
      <c r="K96" s="1289"/>
      <c r="L96" s="318"/>
    </row>
    <row r="97" spans="1:12" ht="38.1" customHeight="1" thickBot="1" x14ac:dyDescent="0.3">
      <c r="A97" s="20" t="s">
        <v>63</v>
      </c>
      <c r="B97" s="21" t="s">
        <v>45</v>
      </c>
      <c r="C97" s="474" t="str">
        <f>+C9</f>
        <v>2022. évi előirányzat</v>
      </c>
      <c r="D97" s="167" t="str">
        <f t="shared" ref="D97:I97" si="22">D9</f>
        <v>Önk</v>
      </c>
      <c r="E97" s="167" t="str">
        <f t="shared" si="22"/>
        <v>PH</v>
      </c>
      <c r="F97" s="167" t="str">
        <f t="shared" si="22"/>
        <v>Óvoda</v>
      </c>
      <c r="G97" s="167" t="str">
        <f t="shared" si="22"/>
        <v>EKIK</v>
      </c>
      <c r="H97" s="167" t="str">
        <f t="shared" si="22"/>
        <v>Bölcsőde</v>
      </c>
      <c r="I97" s="167" t="str">
        <f t="shared" si="22"/>
        <v>Kornisné</v>
      </c>
      <c r="K97" s="1289"/>
      <c r="L97" s="318"/>
    </row>
    <row r="98" spans="1:12" s="178" customFormat="1" ht="12" customHeight="1" thickBot="1" x14ac:dyDescent="0.25">
      <c r="A98" s="25" t="s">
        <v>385</v>
      </c>
      <c r="B98" s="26" t="s">
        <v>386</v>
      </c>
      <c r="C98" s="788" t="s">
        <v>387</v>
      </c>
      <c r="K98" s="1289"/>
      <c r="L98" s="318"/>
    </row>
    <row r="99" spans="1:12" ht="12" customHeight="1" thickBot="1" x14ac:dyDescent="0.3">
      <c r="A99" s="19" t="s">
        <v>16</v>
      </c>
      <c r="B99" s="23" t="s">
        <v>436</v>
      </c>
      <c r="C99" s="791">
        <f t="shared" ref="C99:C160" si="23">SUM(D99:I99)</f>
        <v>3459499019</v>
      </c>
      <c r="D99" s="263">
        <f>+D100+D101+D102+D103+D104+D117</f>
        <v>1234060807</v>
      </c>
      <c r="E99" s="109">
        <f>+E100+E101+E102+E103+E104+E117</f>
        <v>485514274</v>
      </c>
      <c r="F99" s="267">
        <f>F100+F101+F102+F103+F104+F117</f>
        <v>384283599</v>
      </c>
      <c r="G99" s="267">
        <f>G100+G101+G102+G103+G104+G117</f>
        <v>149167519</v>
      </c>
      <c r="H99" s="267">
        <f>H100+H101+H102+H103+H104+H117</f>
        <v>134557208</v>
      </c>
      <c r="I99" s="267">
        <f>I100+I101+I102+I103+I104+I117</f>
        <v>1071915612</v>
      </c>
      <c r="K99" s="320">
        <f>'2. sz.mell. '!C99+'3. sz.mell.'!C99+'4. sz.mell. '!C100+'5. sz.mell.'!C100</f>
        <v>3459499019</v>
      </c>
      <c r="L99" s="320">
        <f t="shared" ref="L99:L160" si="24">C99-K99</f>
        <v>0</v>
      </c>
    </row>
    <row r="100" spans="1:12" ht="12" customHeight="1" thickBot="1" x14ac:dyDescent="0.3">
      <c r="A100" s="14" t="s">
        <v>85</v>
      </c>
      <c r="B100" s="7" t="s">
        <v>46</v>
      </c>
      <c r="C100" s="1246">
        <f>SUM(D100:I100)</f>
        <v>1405932483</v>
      </c>
      <c r="D100" s="678">
        <f>58121842+4514601-7749273-22379+45220953-68596+1272472-12957969-35230022</f>
        <v>53101629</v>
      </c>
      <c r="E100" s="253">
        <v>199255493</v>
      </c>
      <c r="F100" s="253">
        <v>267518494</v>
      </c>
      <c r="G100" s="253">
        <v>75852403</v>
      </c>
      <c r="H100" s="253">
        <v>103154129</v>
      </c>
      <c r="I100" s="34">
        <v>707050335</v>
      </c>
      <c r="K100" s="320">
        <f>'2. sz.mell. '!C100+'3. sz.mell.'!C100+'4. sz.mell. '!C101+'5. sz.mell.'!C101</f>
        <v>1405932483</v>
      </c>
      <c r="L100" s="321">
        <f t="shared" si="24"/>
        <v>0</v>
      </c>
    </row>
    <row r="101" spans="1:12" ht="12" customHeight="1" thickBot="1" x14ac:dyDescent="0.3">
      <c r="A101" s="11" t="s">
        <v>86</v>
      </c>
      <c r="B101" s="5" t="s">
        <v>134</v>
      </c>
      <c r="C101" s="1246">
        <f t="shared" si="23"/>
        <v>203129909</v>
      </c>
      <c r="D101" s="248">
        <f>9537920+5088920-986852+22379+5415948+56308+243319+769158-10271183</f>
        <v>9875917</v>
      </c>
      <c r="E101" s="114">
        <v>33797395</v>
      </c>
      <c r="F101" s="114">
        <v>35464167</v>
      </c>
      <c r="G101" s="114">
        <v>10425298</v>
      </c>
      <c r="H101" s="114">
        <v>13799567</v>
      </c>
      <c r="I101" s="36">
        <v>99767565</v>
      </c>
      <c r="K101" s="320">
        <f>'2. sz.mell. '!C101+'3. sz.mell.'!C101+'4. sz.mell. '!C102+'5. sz.mell.'!C102</f>
        <v>203129909</v>
      </c>
      <c r="L101" s="322">
        <f t="shared" si="24"/>
        <v>0</v>
      </c>
    </row>
    <row r="102" spans="1:12" ht="12" customHeight="1" thickBot="1" x14ac:dyDescent="0.3">
      <c r="A102" s="11" t="s">
        <v>87</v>
      </c>
      <c r="B102" s="5" t="s">
        <v>110</v>
      </c>
      <c r="C102" s="1246">
        <f>SUM(D102:I102)</f>
        <v>1505621577</v>
      </c>
      <c r="D102" s="251">
        <f>587783411+6456541+14867285+4628988+59746170+105551527+3500000+12776719+66085408+120000+4917561+6423458-46588857</f>
        <v>826268211</v>
      </c>
      <c r="E102" s="170">
        <v>252461386</v>
      </c>
      <c r="F102" s="114">
        <v>81300938</v>
      </c>
      <c r="G102" s="114">
        <v>62889818</v>
      </c>
      <c r="H102" s="114">
        <v>17603512</v>
      </c>
      <c r="I102" s="36">
        <v>265097712</v>
      </c>
      <c r="K102" s="320">
        <f>'2. sz.mell. '!C102+'3. sz.mell.'!C102+'4. sz.mell. '!C103+'5. sz.mell.'!C103</f>
        <v>1505621577</v>
      </c>
      <c r="L102" s="322">
        <f t="shared" si="24"/>
        <v>0</v>
      </c>
    </row>
    <row r="103" spans="1:12" ht="12" customHeight="1" thickBot="1" x14ac:dyDescent="0.3">
      <c r="A103" s="11" t="s">
        <v>88</v>
      </c>
      <c r="B103" s="5" t="s">
        <v>135</v>
      </c>
      <c r="C103" s="1246">
        <f t="shared" ref="C103:C119" si="25">SUM(D103:I103)</f>
        <v>38050000</v>
      </c>
      <c r="D103" s="251">
        <f>43800000+1250000-7000000</f>
        <v>38050000</v>
      </c>
      <c r="E103" s="170"/>
      <c r="F103" s="170"/>
      <c r="G103" s="170"/>
      <c r="H103" s="170"/>
      <c r="I103" s="170"/>
      <c r="K103" s="320">
        <f>'2. sz.mell. '!C103+'3. sz.mell.'!C103+'4. sz.mell. '!C104+'5. sz.mell.'!C104</f>
        <v>38050000</v>
      </c>
      <c r="L103" s="322">
        <f t="shared" si="24"/>
        <v>0</v>
      </c>
    </row>
    <row r="104" spans="1:12" ht="12" customHeight="1" thickBot="1" x14ac:dyDescent="0.3">
      <c r="A104" s="11" t="s">
        <v>99</v>
      </c>
      <c r="B104" s="4" t="s">
        <v>136</v>
      </c>
      <c r="C104" s="1246">
        <f t="shared" si="25"/>
        <v>201443249</v>
      </c>
      <c r="D104" s="251">
        <f>SUM(D105:D116)</f>
        <v>201443249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  <c r="K104" s="320">
        <f>'2. sz.mell. '!C104+'3. sz.mell.'!C104+'4. sz.mell. '!C105+'5. sz.mell.'!C105</f>
        <v>201443249</v>
      </c>
      <c r="L104" s="322">
        <f t="shared" si="24"/>
        <v>0</v>
      </c>
    </row>
    <row r="105" spans="1:12" ht="12" customHeight="1" thickBot="1" x14ac:dyDescent="0.3">
      <c r="A105" s="11" t="s">
        <v>89</v>
      </c>
      <c r="B105" s="5" t="s">
        <v>399</v>
      </c>
      <c r="C105" s="1246">
        <f t="shared" si="25"/>
        <v>5936986</v>
      </c>
      <c r="D105" s="251">
        <f>4353344+973615-973615+776608+807034</f>
        <v>5936986</v>
      </c>
      <c r="E105" s="170"/>
      <c r="F105" s="170"/>
      <c r="G105" s="170"/>
      <c r="H105" s="170"/>
      <c r="I105" s="170"/>
      <c r="K105" s="320">
        <f>'2. sz.mell. '!C105+'3. sz.mell.'!C105+'4. sz.mell. '!C106+'5. sz.mell.'!C106</f>
        <v>5936986</v>
      </c>
      <c r="L105" s="322">
        <f t="shared" si="24"/>
        <v>0</v>
      </c>
    </row>
    <row r="106" spans="1:12" ht="12" customHeight="1" thickBot="1" x14ac:dyDescent="0.3">
      <c r="A106" s="11" t="s">
        <v>90</v>
      </c>
      <c r="B106" s="60" t="s">
        <v>400</v>
      </c>
      <c r="C106" s="351">
        <f t="shared" si="25"/>
        <v>5091319</v>
      </c>
      <c r="D106" s="251">
        <f>5091319</f>
        <v>5091319</v>
      </c>
      <c r="E106" s="170"/>
      <c r="F106" s="170"/>
      <c r="G106" s="170"/>
      <c r="H106" s="170"/>
      <c r="I106" s="170"/>
      <c r="K106" s="320">
        <f>'2. sz.mell. '!C106+'3. sz.mell.'!C106+'4. sz.mell. '!C107+'5. sz.mell.'!C107</f>
        <v>5091319</v>
      </c>
      <c r="L106" s="322">
        <f t="shared" si="24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51">
        <f t="shared" si="25"/>
        <v>0</v>
      </c>
      <c r="D107" s="251"/>
      <c r="E107" s="170"/>
      <c r="F107" s="170"/>
      <c r="G107" s="170"/>
      <c r="H107" s="170"/>
      <c r="I107" s="170"/>
      <c r="K107" s="320">
        <f>'2. sz.mell. '!C107+'3. sz.mell.'!C107+'4. sz.mell. '!C108+'5. sz.mell.'!C108</f>
        <v>0</v>
      </c>
      <c r="L107" s="322">
        <f t="shared" si="24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51">
        <f t="shared" si="25"/>
        <v>0</v>
      </c>
      <c r="D108" s="251"/>
      <c r="E108" s="170"/>
      <c r="F108" s="170"/>
      <c r="G108" s="170"/>
      <c r="H108" s="170"/>
      <c r="I108" s="170"/>
      <c r="K108" s="320">
        <f>'2. sz.mell. '!C108+'3. sz.mell.'!C108+'4. sz.mell. '!C109+'5. sz.mell.'!C109</f>
        <v>0</v>
      </c>
      <c r="L108" s="322">
        <f t="shared" si="24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51">
        <f t="shared" si="25"/>
        <v>0</v>
      </c>
      <c r="D109" s="251"/>
      <c r="E109" s="170"/>
      <c r="F109" s="170"/>
      <c r="G109" s="170"/>
      <c r="H109" s="170"/>
      <c r="I109" s="170"/>
      <c r="K109" s="320">
        <f>'2. sz.mell. '!C109+'3. sz.mell.'!C109+'4. sz.mell. '!C110+'5. sz.mell.'!C110</f>
        <v>0</v>
      </c>
      <c r="L109" s="322">
        <f t="shared" si="24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51">
        <f t="shared" si="25"/>
        <v>0</v>
      </c>
      <c r="D110" s="251"/>
      <c r="E110" s="170"/>
      <c r="F110" s="170"/>
      <c r="G110" s="170"/>
      <c r="H110" s="170"/>
      <c r="I110" s="170"/>
      <c r="K110" s="320">
        <f>'2. sz.mell. '!C110+'3. sz.mell.'!C110+'4. sz.mell. '!C111+'5. sz.mell.'!C111</f>
        <v>0</v>
      </c>
      <c r="L110" s="322">
        <f t="shared" si="24"/>
        <v>0</v>
      </c>
    </row>
    <row r="111" spans="1:12" ht="12" customHeight="1" thickBot="1" x14ac:dyDescent="0.3">
      <c r="A111" s="11" t="s">
        <v>105</v>
      </c>
      <c r="B111" s="58" t="s">
        <v>287</v>
      </c>
      <c r="C111" s="351">
        <f t="shared" si="25"/>
        <v>1269096</v>
      </c>
      <c r="D111" s="251">
        <f>636000+457259+175836+1</f>
        <v>1269096</v>
      </c>
      <c r="E111" s="170"/>
      <c r="F111" s="170"/>
      <c r="G111" s="170"/>
      <c r="H111" s="170"/>
      <c r="I111" s="170"/>
      <c r="K111" s="320">
        <f>'2. sz.mell. '!C111+'3. sz.mell.'!C111+'4. sz.mell. '!C112+'5. sz.mell.'!C112</f>
        <v>1269096</v>
      </c>
      <c r="L111" s="322">
        <f t="shared" si="24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51">
        <f t="shared" si="25"/>
        <v>0</v>
      </c>
      <c r="D112" s="251"/>
      <c r="E112" s="170"/>
      <c r="F112" s="170"/>
      <c r="G112" s="170"/>
      <c r="H112" s="170"/>
      <c r="I112" s="170"/>
      <c r="K112" s="320">
        <f>'2. sz.mell. '!C112+'3. sz.mell.'!C112+'4. sz.mell. '!C113+'5. sz.mell.'!C113</f>
        <v>0</v>
      </c>
      <c r="L112" s="322">
        <f t="shared" si="24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51">
        <f t="shared" si="25"/>
        <v>0</v>
      </c>
      <c r="D113" s="251"/>
      <c r="E113" s="170"/>
      <c r="F113" s="170"/>
      <c r="G113" s="170"/>
      <c r="H113" s="170"/>
      <c r="I113" s="170"/>
      <c r="K113" s="320">
        <f>'2. sz.mell. '!C113+'3. sz.mell.'!C113+'4. sz.mell. '!C114+'5. sz.mell.'!C114</f>
        <v>0</v>
      </c>
      <c r="L113" s="322">
        <f t="shared" si="24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51">
        <f t="shared" si="25"/>
        <v>0</v>
      </c>
      <c r="D114" s="251"/>
      <c r="E114" s="170"/>
      <c r="F114" s="170"/>
      <c r="G114" s="170"/>
      <c r="H114" s="170"/>
      <c r="I114" s="170"/>
      <c r="K114" s="320">
        <f>'2. sz.mell. '!C114+'3. sz.mell.'!C114+'4. sz.mell. '!C115+'5. sz.mell.'!C115</f>
        <v>0</v>
      </c>
      <c r="L114" s="322">
        <f t="shared" si="24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51">
        <f t="shared" si="25"/>
        <v>0</v>
      </c>
      <c r="D115" s="251"/>
      <c r="E115" s="170"/>
      <c r="F115" s="170"/>
      <c r="G115" s="170"/>
      <c r="H115" s="170"/>
      <c r="I115" s="170"/>
      <c r="K115" s="320">
        <f>'2. sz.mell. '!C115+'3. sz.mell.'!C115+'4. sz.mell. '!C116+'5. sz.mell.'!C116</f>
        <v>0</v>
      </c>
      <c r="L115" s="322">
        <f t="shared" si="24"/>
        <v>0</v>
      </c>
    </row>
    <row r="116" spans="1:12" ht="12" customHeight="1" thickBot="1" x14ac:dyDescent="0.3">
      <c r="A116" s="13" t="s">
        <v>403</v>
      </c>
      <c r="B116" s="60" t="s">
        <v>292</v>
      </c>
      <c r="C116" s="1246">
        <f t="shared" si="25"/>
        <v>189145848</v>
      </c>
      <c r="D116" s="248">
        <f>190604229+234570-150000+1671802-564491-4071620+1421358</f>
        <v>189145848</v>
      </c>
      <c r="E116" s="114"/>
      <c r="F116" s="170"/>
      <c r="G116" s="170"/>
      <c r="H116" s="170"/>
      <c r="I116" s="170"/>
      <c r="K116" s="320">
        <f>'2. sz.mell. '!C116+'3. sz.mell.'!C116+'4. sz.mell. '!C117+'5. sz.mell.'!C117</f>
        <v>189145848</v>
      </c>
      <c r="L116" s="322">
        <f t="shared" si="24"/>
        <v>0</v>
      </c>
    </row>
    <row r="117" spans="1:12" ht="12" customHeight="1" thickBot="1" x14ac:dyDescent="0.3">
      <c r="A117" s="11" t="s">
        <v>404</v>
      </c>
      <c r="B117" s="5" t="s">
        <v>47</v>
      </c>
      <c r="C117" s="1246">
        <f t="shared" si="25"/>
        <v>105321801</v>
      </c>
      <c r="D117" s="248">
        <f t="shared" ref="D117:I117" si="26">SUM(D118:D119)</f>
        <v>105321801</v>
      </c>
      <c r="E117" s="248">
        <f t="shared" si="26"/>
        <v>0</v>
      </c>
      <c r="F117" s="248">
        <f t="shared" si="26"/>
        <v>0</v>
      </c>
      <c r="G117" s="248">
        <f t="shared" si="26"/>
        <v>0</v>
      </c>
      <c r="H117" s="248">
        <f t="shared" si="26"/>
        <v>0</v>
      </c>
      <c r="I117" s="248">
        <f t="shared" si="26"/>
        <v>0</v>
      </c>
      <c r="K117" s="320">
        <f>'2. sz.mell. '!C117+'3. sz.mell.'!C117+'4. sz.mell. '!C118+'5. sz.mell.'!C118</f>
        <v>105321801</v>
      </c>
      <c r="L117" s="322">
        <f t="shared" si="24"/>
        <v>0</v>
      </c>
    </row>
    <row r="118" spans="1:12" ht="12" customHeight="1" thickBot="1" x14ac:dyDescent="0.3">
      <c r="A118" s="11" t="s">
        <v>405</v>
      </c>
      <c r="B118" s="5" t="s">
        <v>406</v>
      </c>
      <c r="C118" s="1246">
        <f t="shared" si="25"/>
        <v>919032</v>
      </c>
      <c r="D118" s="251">
        <f>10000000+2761613+2341692-1769228+5286934+3399263-4655454+23252920-120000-39578708</f>
        <v>919032</v>
      </c>
      <c r="E118" s="170"/>
      <c r="F118" s="114"/>
      <c r="G118" s="114"/>
      <c r="H118" s="114"/>
      <c r="I118" s="114"/>
      <c r="K118" s="320">
        <f>'2. sz.mell. '!C118+'3. sz.mell.'!C118+'4. sz.mell. '!C119+'5. sz.mell.'!C119</f>
        <v>919032</v>
      </c>
      <c r="L118" s="322">
        <f t="shared" si="24"/>
        <v>0</v>
      </c>
    </row>
    <row r="119" spans="1:12" ht="12" customHeight="1" thickBot="1" x14ac:dyDescent="0.3">
      <c r="A119" s="15" t="s">
        <v>407</v>
      </c>
      <c r="B119" s="239" t="s">
        <v>408</v>
      </c>
      <c r="C119" s="1246">
        <f t="shared" si="25"/>
        <v>104402769</v>
      </c>
      <c r="D119" s="272">
        <f>120420513-108134-3989610-1920000-10000000</f>
        <v>104402769</v>
      </c>
      <c r="E119" s="256"/>
      <c r="F119" s="256"/>
      <c r="G119" s="256"/>
      <c r="H119" s="256"/>
      <c r="I119" s="256"/>
      <c r="K119" s="320">
        <f>'2. sz.mell. '!C119+'3. sz.mell.'!C119+'4. sz.mell. '!C120+'5. sz.mell.'!C120</f>
        <v>104402769</v>
      </c>
      <c r="L119" s="323">
        <f t="shared" si="24"/>
        <v>0</v>
      </c>
    </row>
    <row r="120" spans="1:12" ht="12" customHeight="1" thickBot="1" x14ac:dyDescent="0.3">
      <c r="A120" s="240" t="s">
        <v>17</v>
      </c>
      <c r="B120" s="353" t="s">
        <v>293</v>
      </c>
      <c r="C120" s="356">
        <f t="shared" si="23"/>
        <v>3599232146</v>
      </c>
      <c r="D120" s="257">
        <f t="shared" ref="D120:I120" si="27">+D121+D123+D125</f>
        <v>3558723408</v>
      </c>
      <c r="E120" s="110">
        <f t="shared" si="27"/>
        <v>5095010</v>
      </c>
      <c r="F120" s="242">
        <f t="shared" si="27"/>
        <v>1803400</v>
      </c>
      <c r="G120" s="242">
        <f t="shared" si="27"/>
        <v>7342790</v>
      </c>
      <c r="H120" s="242">
        <f t="shared" si="27"/>
        <v>523597</v>
      </c>
      <c r="I120" s="242">
        <f t="shared" si="27"/>
        <v>25743941</v>
      </c>
      <c r="K120" s="320">
        <f>'2. sz.mell. '!C120+'3. sz.mell.'!C120+'4. sz.mell. '!C121+'5. sz.mell.'!C121</f>
        <v>3599232146</v>
      </c>
      <c r="L120" s="320">
        <f t="shared" si="24"/>
        <v>0</v>
      </c>
    </row>
    <row r="121" spans="1:12" ht="15" customHeight="1" thickBot="1" x14ac:dyDescent="0.3">
      <c r="A121" s="12" t="s">
        <v>91</v>
      </c>
      <c r="B121" s="5" t="s">
        <v>157</v>
      </c>
      <c r="C121" s="1246">
        <f t="shared" si="23"/>
        <v>978605469</v>
      </c>
      <c r="D121" s="677">
        <f>700117222-30445+809906+14764078+142293416+76415016+1091555-20000000+2565703+455756+24742856+4071620-8119052</f>
        <v>939177631</v>
      </c>
      <c r="E121" s="214">
        <v>5095010</v>
      </c>
      <c r="F121" s="214">
        <v>1206500</v>
      </c>
      <c r="G121" s="214">
        <v>6858790</v>
      </c>
      <c r="H121" s="214">
        <v>523597</v>
      </c>
      <c r="I121" s="34">
        <v>25743941</v>
      </c>
      <c r="K121" s="320">
        <f>'2. sz.mell. '!C121+'3. sz.mell.'!C121+'4. sz.mell. '!C122+'5. sz.mell.'!C122</f>
        <v>978605469</v>
      </c>
      <c r="L121" s="321">
        <f t="shared" si="24"/>
        <v>0</v>
      </c>
    </row>
    <row r="122" spans="1:12" ht="12" customHeight="1" thickBot="1" x14ac:dyDescent="0.3">
      <c r="A122" s="12" t="s">
        <v>92</v>
      </c>
      <c r="B122" s="9" t="s">
        <v>297</v>
      </c>
      <c r="C122" s="351">
        <f t="shared" si="23"/>
        <v>442903183</v>
      </c>
      <c r="D122" s="1199">
        <f>1050+1047540+70861712+149722828+2491795+137436248+76216590+4071620</f>
        <v>441849383</v>
      </c>
      <c r="E122" s="214"/>
      <c r="F122" s="214"/>
      <c r="G122" s="214"/>
      <c r="H122" s="214"/>
      <c r="I122" s="214">
        <v>1053800</v>
      </c>
      <c r="K122" s="320">
        <f>'2. sz.mell. '!C122+'3. sz.mell.'!C122+'4. sz.mell. '!C123+'5. sz.mell.'!C123</f>
        <v>442903183</v>
      </c>
      <c r="L122" s="322">
        <f t="shared" si="24"/>
        <v>0</v>
      </c>
    </row>
    <row r="123" spans="1:12" ht="12" customHeight="1" thickBot="1" x14ac:dyDescent="0.3">
      <c r="A123" s="12" t="s">
        <v>93</v>
      </c>
      <c r="B123" s="9" t="s">
        <v>138</v>
      </c>
      <c r="C123" s="1246">
        <f t="shared" si="23"/>
        <v>2616438434</v>
      </c>
      <c r="D123" s="248">
        <f>1934218597-8470273+588237-19331097+799145+696873390-25113756+79166922-41507976+4968345-6350000</f>
        <v>2615841534</v>
      </c>
      <c r="E123" s="114"/>
      <c r="F123" s="114">
        <v>596900</v>
      </c>
      <c r="G123" s="114"/>
      <c r="H123" s="114"/>
      <c r="I123" s="114"/>
      <c r="K123" s="320">
        <f>'2. sz.mell. '!C123+'3. sz.mell.'!C123+'4. sz.mell. '!C124+'5. sz.mell.'!C124</f>
        <v>2616438434</v>
      </c>
      <c r="L123" s="322">
        <f t="shared" si="24"/>
        <v>0</v>
      </c>
    </row>
    <row r="124" spans="1:12" ht="12" customHeight="1" thickBot="1" x14ac:dyDescent="0.3">
      <c r="A124" s="12" t="s">
        <v>94</v>
      </c>
      <c r="B124" s="9" t="s">
        <v>298</v>
      </c>
      <c r="C124" s="351">
        <f t="shared" si="23"/>
        <v>1179981633</v>
      </c>
      <c r="D124" s="248">
        <f>162787385+236673086+703784240+76736922</f>
        <v>1179981633</v>
      </c>
      <c r="E124" s="469"/>
      <c r="F124" s="248"/>
      <c r="G124" s="248"/>
      <c r="H124" s="248"/>
      <c r="I124" s="248"/>
      <c r="K124" s="320">
        <f>'2. sz.mell. '!C124+'3. sz.mell.'!C124+'4. sz.mell. '!C125+'5. sz.mell.'!C125</f>
        <v>1179981633</v>
      </c>
      <c r="L124" s="322">
        <f t="shared" si="24"/>
        <v>0</v>
      </c>
    </row>
    <row r="125" spans="1:12" ht="12" customHeight="1" thickBot="1" x14ac:dyDescent="0.3">
      <c r="A125" s="12" t="s">
        <v>95</v>
      </c>
      <c r="B125" s="107" t="s">
        <v>159</v>
      </c>
      <c r="C125" s="351">
        <f t="shared" si="23"/>
        <v>4188243</v>
      </c>
      <c r="D125" s="248">
        <f t="shared" ref="D125:I125" si="28">SUM(D126:D133)</f>
        <v>3704243</v>
      </c>
      <c r="E125" s="248">
        <f t="shared" si="28"/>
        <v>0</v>
      </c>
      <c r="F125" s="248">
        <f t="shared" si="28"/>
        <v>0</v>
      </c>
      <c r="G125" s="248">
        <f t="shared" si="28"/>
        <v>484000</v>
      </c>
      <c r="H125" s="248">
        <f t="shared" si="28"/>
        <v>0</v>
      </c>
      <c r="I125" s="248">
        <f t="shared" si="28"/>
        <v>0</v>
      </c>
      <c r="K125" s="320">
        <f>'2. sz.mell. '!C125+'3. sz.mell.'!C125+'4. sz.mell. '!C126+'5. sz.mell.'!C126</f>
        <v>4188243</v>
      </c>
      <c r="L125" s="322">
        <f t="shared" si="24"/>
        <v>0</v>
      </c>
    </row>
    <row r="126" spans="1:12" ht="12" customHeight="1" thickBot="1" x14ac:dyDescent="0.3">
      <c r="A126" s="12" t="s">
        <v>104</v>
      </c>
      <c r="B126" s="106" t="s">
        <v>358</v>
      </c>
      <c r="C126" s="351">
        <f t="shared" si="23"/>
        <v>0</v>
      </c>
      <c r="D126" s="99"/>
      <c r="E126" s="99"/>
      <c r="F126" s="248"/>
      <c r="G126" s="248"/>
      <c r="H126" s="248"/>
      <c r="I126" s="248"/>
      <c r="K126" s="320">
        <f>'2. sz.mell. '!C126+'3. sz.mell.'!C126+'4. sz.mell. '!C127+'5. sz.mell.'!C127</f>
        <v>0</v>
      </c>
      <c r="L126" s="322">
        <f t="shared" si="24"/>
        <v>0</v>
      </c>
    </row>
    <row r="127" spans="1:12" ht="12" customHeight="1" thickBot="1" x14ac:dyDescent="0.3">
      <c r="A127" s="12" t="s">
        <v>106</v>
      </c>
      <c r="B127" s="177" t="s">
        <v>303</v>
      </c>
      <c r="C127" s="351">
        <f t="shared" si="23"/>
        <v>0</v>
      </c>
      <c r="D127" s="99"/>
      <c r="E127" s="99"/>
      <c r="F127" s="248"/>
      <c r="G127" s="248"/>
      <c r="H127" s="248"/>
      <c r="I127" s="248"/>
      <c r="K127" s="320">
        <f>'2. sz.mell. '!C127+'3. sz.mell.'!C127+'4. sz.mell. '!C128+'5. sz.mell.'!C128</f>
        <v>0</v>
      </c>
      <c r="L127" s="322">
        <f t="shared" si="24"/>
        <v>0</v>
      </c>
    </row>
    <row r="128" spans="1:12" ht="16.5" thickBot="1" x14ac:dyDescent="0.3">
      <c r="A128" s="12" t="s">
        <v>139</v>
      </c>
      <c r="B128" s="59" t="s">
        <v>286</v>
      </c>
      <c r="C128" s="351">
        <f t="shared" si="23"/>
        <v>0</v>
      </c>
      <c r="D128" s="99"/>
      <c r="E128" s="99"/>
      <c r="F128" s="248"/>
      <c r="G128" s="248"/>
      <c r="H128" s="248"/>
      <c r="I128" s="248"/>
      <c r="K128" s="320">
        <f>'2. sz.mell. '!C128+'3. sz.mell.'!C128+'4. sz.mell. '!C129+'5. sz.mell.'!C129</f>
        <v>0</v>
      </c>
      <c r="L128" s="322">
        <f t="shared" si="24"/>
        <v>0</v>
      </c>
    </row>
    <row r="129" spans="1:12" ht="12" customHeight="1" thickBot="1" x14ac:dyDescent="0.3">
      <c r="A129" s="12" t="s">
        <v>140</v>
      </c>
      <c r="B129" s="59" t="s">
        <v>302</v>
      </c>
      <c r="C129" s="351">
        <f>SUM(D129:I129)</f>
        <v>1255919</v>
      </c>
      <c r="D129" s="99">
        <f>798660+457259</f>
        <v>1255919</v>
      </c>
      <c r="E129" s="99"/>
      <c r="F129" s="248"/>
      <c r="G129" s="248"/>
      <c r="H129" s="248"/>
      <c r="I129" s="248"/>
      <c r="K129" s="320">
        <f>'2. sz.mell. '!C129+'3. sz.mell.'!C129+'4. sz.mell. '!C130+'5. sz.mell.'!C130</f>
        <v>1255919</v>
      </c>
      <c r="L129" s="322">
        <f t="shared" si="24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51">
        <f t="shared" si="23"/>
        <v>0</v>
      </c>
      <c r="D130" s="99"/>
      <c r="E130" s="99"/>
      <c r="F130" s="248"/>
      <c r="G130" s="248"/>
      <c r="H130" s="248"/>
      <c r="I130" s="248"/>
      <c r="K130" s="320">
        <f>'2. sz.mell. '!C130+'3. sz.mell.'!C130+'4. sz.mell. '!C131+'5. sz.mell.'!C131</f>
        <v>0</v>
      </c>
      <c r="L130" s="322">
        <f t="shared" si="24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51">
        <f t="shared" si="23"/>
        <v>0</v>
      </c>
      <c r="D131" s="99"/>
      <c r="E131" s="99"/>
      <c r="F131" s="248"/>
      <c r="G131" s="248"/>
      <c r="H131" s="248"/>
      <c r="I131" s="248"/>
      <c r="K131" s="320">
        <f>'2. sz.mell. '!C131+'3. sz.mell.'!C131+'4. sz.mell. '!C132+'5. sz.mell.'!C132</f>
        <v>0</v>
      </c>
      <c r="L131" s="322">
        <f t="shared" si="24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51">
        <f t="shared" si="23"/>
        <v>0</v>
      </c>
      <c r="D132" s="99"/>
      <c r="E132" s="99"/>
      <c r="F132" s="248"/>
      <c r="G132" s="248"/>
      <c r="H132" s="248"/>
      <c r="I132" s="248"/>
      <c r="K132" s="320">
        <f>'2. sz.mell. '!C132+'3. sz.mell.'!C132+'4. sz.mell. '!C133+'5. sz.mell.'!C133</f>
        <v>0</v>
      </c>
      <c r="L132" s="322">
        <f t="shared" si="24"/>
        <v>0</v>
      </c>
    </row>
    <row r="133" spans="1:12" ht="16.5" thickBot="1" x14ac:dyDescent="0.3">
      <c r="A133" s="10" t="s">
        <v>296</v>
      </c>
      <c r="B133" s="59" t="s">
        <v>299</v>
      </c>
      <c r="C133" s="351">
        <f t="shared" si="23"/>
        <v>2932324</v>
      </c>
      <c r="D133" s="251">
        <f>1423277+150000+767815+107232</f>
        <v>2448324</v>
      </c>
      <c r="E133" s="251"/>
      <c r="F133" s="251"/>
      <c r="G133" s="251">
        <v>484000</v>
      </c>
      <c r="H133" s="251"/>
      <c r="I133" s="251"/>
      <c r="K133" s="320">
        <f>'2. sz.mell. '!C133+'3. sz.mell.'!C133+'4. sz.mell. '!C134+'5. sz.mell.'!C134</f>
        <v>2932324</v>
      </c>
      <c r="L133" s="323">
        <f t="shared" si="24"/>
        <v>0</v>
      </c>
    </row>
    <row r="134" spans="1:12" ht="12" customHeight="1" thickBot="1" x14ac:dyDescent="0.3">
      <c r="A134" s="17" t="s">
        <v>18</v>
      </c>
      <c r="B134" s="354" t="s">
        <v>409</v>
      </c>
      <c r="C134" s="356">
        <f t="shared" si="23"/>
        <v>7058731165</v>
      </c>
      <c r="D134" s="257">
        <f t="shared" ref="D134:I134" si="29">+D99+D120</f>
        <v>4792784215</v>
      </c>
      <c r="E134" s="110">
        <f t="shared" si="29"/>
        <v>490609284</v>
      </c>
      <c r="F134" s="110">
        <f t="shared" si="29"/>
        <v>386086999</v>
      </c>
      <c r="G134" s="110">
        <f t="shared" si="29"/>
        <v>156510309</v>
      </c>
      <c r="H134" s="110">
        <f t="shared" si="29"/>
        <v>135080805</v>
      </c>
      <c r="I134" s="110">
        <f t="shared" si="29"/>
        <v>1097659553</v>
      </c>
      <c r="K134" s="320">
        <f>'2. sz.mell. '!C134+'3. sz.mell.'!C134+'4. sz.mell. '!C135+'5. sz.mell.'!C135</f>
        <v>7058731165</v>
      </c>
      <c r="L134" s="320">
        <f t="shared" si="24"/>
        <v>0</v>
      </c>
    </row>
    <row r="135" spans="1:12" ht="12" customHeight="1" thickBot="1" x14ac:dyDescent="0.3">
      <c r="A135" s="17" t="s">
        <v>19</v>
      </c>
      <c r="B135" s="354" t="s">
        <v>410</v>
      </c>
      <c r="C135" s="356">
        <f>SUM(D135:I135)</f>
        <v>1072728296</v>
      </c>
      <c r="D135" s="257">
        <f t="shared" ref="D135:I135" si="30">+D136+D137+D138</f>
        <v>1072728296</v>
      </c>
      <c r="E135" s="110">
        <f t="shared" si="30"/>
        <v>0</v>
      </c>
      <c r="F135" s="110">
        <f t="shared" si="30"/>
        <v>0</v>
      </c>
      <c r="G135" s="110">
        <f t="shared" si="30"/>
        <v>0</v>
      </c>
      <c r="H135" s="110">
        <f t="shared" si="30"/>
        <v>0</v>
      </c>
      <c r="I135" s="110">
        <f t="shared" si="30"/>
        <v>0</v>
      </c>
      <c r="K135" s="320">
        <f>'2. sz.mell. '!C135+'3. sz.mell.'!C135+'4. sz.mell. '!C136+'5. sz.mell.'!C136</f>
        <v>1072728296</v>
      </c>
      <c r="L135" s="320">
        <f t="shared" si="24"/>
        <v>0</v>
      </c>
    </row>
    <row r="136" spans="1:12" ht="12" customHeight="1" thickBot="1" x14ac:dyDescent="0.3">
      <c r="A136" s="12" t="s">
        <v>195</v>
      </c>
      <c r="B136" s="9" t="s">
        <v>411</v>
      </c>
      <c r="C136" s="351">
        <f>SUM(D136:I136)</f>
        <v>22728296</v>
      </c>
      <c r="D136" s="248">
        <v>22728296</v>
      </c>
      <c r="E136" s="248"/>
      <c r="F136" s="248"/>
      <c r="G136" s="248"/>
      <c r="H136" s="248"/>
      <c r="I136" s="248"/>
      <c r="K136" s="320">
        <f>'2. sz.mell. '!C136+'3. sz.mell.'!C136+'4. sz.mell. '!C137+'5. sz.mell.'!C137</f>
        <v>22728296</v>
      </c>
      <c r="L136" s="321">
        <f t="shared" si="24"/>
        <v>0</v>
      </c>
    </row>
    <row r="137" spans="1:12" ht="12" customHeight="1" thickBot="1" x14ac:dyDescent="0.3">
      <c r="A137" s="12" t="s">
        <v>198</v>
      </c>
      <c r="B137" s="9" t="s">
        <v>412</v>
      </c>
      <c r="C137" s="351">
        <f>SUM(D137:I137)</f>
        <v>1050000000</v>
      </c>
      <c r="D137" s="248">
        <f>1000000000+50000000</f>
        <v>1050000000</v>
      </c>
      <c r="E137" s="99"/>
      <c r="F137" s="99"/>
      <c r="G137" s="99"/>
      <c r="H137" s="99"/>
      <c r="I137" s="99"/>
      <c r="K137" s="320">
        <f>'2. sz.mell. '!C137+'3. sz.mell.'!C137+'4. sz.mell. '!C138+'5. sz.mell.'!C138</f>
        <v>1050000000</v>
      </c>
      <c r="L137" s="322">
        <f t="shared" si="24"/>
        <v>0</v>
      </c>
    </row>
    <row r="138" spans="1:12" ht="12" customHeight="1" thickBot="1" x14ac:dyDescent="0.3">
      <c r="A138" s="10" t="s">
        <v>199</v>
      </c>
      <c r="B138" s="9" t="s">
        <v>413</v>
      </c>
      <c r="C138" s="397">
        <f t="shared" si="23"/>
        <v>0</v>
      </c>
      <c r="D138" s="99"/>
      <c r="E138" s="99"/>
      <c r="F138" s="99"/>
      <c r="G138" s="99"/>
      <c r="H138" s="99"/>
      <c r="I138" s="99"/>
      <c r="K138" s="320">
        <f>'2. sz.mell. '!C138+'3. sz.mell.'!C138+'4. sz.mell. '!C139+'5. sz.mell.'!C139</f>
        <v>0</v>
      </c>
      <c r="L138" s="323">
        <f t="shared" si="24"/>
        <v>0</v>
      </c>
    </row>
    <row r="139" spans="1:12" ht="12" customHeight="1" thickBot="1" x14ac:dyDescent="0.3">
      <c r="A139" s="17" t="s">
        <v>20</v>
      </c>
      <c r="B139" s="354" t="s">
        <v>414</v>
      </c>
      <c r="C139" s="356">
        <f t="shared" si="23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  <c r="K139" s="320">
        <f>'2. sz.mell. '!C139+'3. sz.mell.'!C139+'4. sz.mell. '!C140+'5. sz.mell.'!C140</f>
        <v>0</v>
      </c>
      <c r="L139" s="320">
        <f t="shared" si="24"/>
        <v>0</v>
      </c>
    </row>
    <row r="140" spans="1:12" ht="12" customHeight="1" thickBot="1" x14ac:dyDescent="0.3">
      <c r="A140" s="12" t="s">
        <v>78</v>
      </c>
      <c r="B140" s="6" t="s">
        <v>415</v>
      </c>
      <c r="C140" s="351">
        <f t="shared" si="23"/>
        <v>0</v>
      </c>
      <c r="D140" s="99"/>
      <c r="E140" s="99"/>
      <c r="F140" s="99"/>
      <c r="G140" s="99"/>
      <c r="H140" s="99"/>
      <c r="I140" s="99"/>
      <c r="K140" s="320">
        <f>'2. sz.mell. '!C140+'3. sz.mell.'!C140+'4. sz.mell. '!C141+'5. sz.mell.'!C141</f>
        <v>0</v>
      </c>
      <c r="L140" s="321">
        <f t="shared" si="24"/>
        <v>0</v>
      </c>
    </row>
    <row r="141" spans="1:12" ht="12" customHeight="1" thickBot="1" x14ac:dyDescent="0.3">
      <c r="A141" s="12" t="s">
        <v>79</v>
      </c>
      <c r="B141" s="6" t="s">
        <v>416</v>
      </c>
      <c r="C141" s="351">
        <f t="shared" si="23"/>
        <v>0</v>
      </c>
      <c r="D141" s="99"/>
      <c r="E141" s="99"/>
      <c r="F141" s="99"/>
      <c r="G141" s="99"/>
      <c r="H141" s="99"/>
      <c r="I141" s="99"/>
      <c r="K141" s="320">
        <f>'2. sz.mell. '!C141+'3. sz.mell.'!C141+'4. sz.mell. '!C142+'5. sz.mell.'!C142</f>
        <v>0</v>
      </c>
      <c r="L141" s="322">
        <f t="shared" si="24"/>
        <v>0</v>
      </c>
    </row>
    <row r="142" spans="1:12" ht="12" customHeight="1" thickBot="1" x14ac:dyDescent="0.3">
      <c r="A142" s="12" t="s">
        <v>80</v>
      </c>
      <c r="B142" s="6" t="s">
        <v>417</v>
      </c>
      <c r="C142" s="351">
        <f t="shared" si="23"/>
        <v>0</v>
      </c>
      <c r="D142" s="99"/>
      <c r="E142" s="99"/>
      <c r="F142" s="99"/>
      <c r="G142" s="99"/>
      <c r="H142" s="99"/>
      <c r="I142" s="99"/>
      <c r="K142" s="320">
        <f>'2. sz.mell. '!C142+'3. sz.mell.'!C142+'4. sz.mell. '!C143+'5. sz.mell.'!C143</f>
        <v>0</v>
      </c>
      <c r="L142" s="322">
        <f t="shared" si="24"/>
        <v>0</v>
      </c>
    </row>
    <row r="143" spans="1:12" ht="12" customHeight="1" thickBot="1" x14ac:dyDescent="0.3">
      <c r="A143" s="12" t="s">
        <v>126</v>
      </c>
      <c r="B143" s="6" t="s">
        <v>418</v>
      </c>
      <c r="C143" s="351">
        <f t="shared" si="23"/>
        <v>0</v>
      </c>
      <c r="D143" s="99"/>
      <c r="E143" s="99"/>
      <c r="F143" s="99"/>
      <c r="G143" s="99"/>
      <c r="H143" s="99"/>
      <c r="I143" s="99"/>
      <c r="K143" s="320">
        <f>'2. sz.mell. '!C143+'3. sz.mell.'!C143+'4. sz.mell. '!C144+'5. sz.mell.'!C144</f>
        <v>0</v>
      </c>
      <c r="L143" s="322">
        <f t="shared" si="24"/>
        <v>0</v>
      </c>
    </row>
    <row r="144" spans="1:12" ht="12" customHeight="1" thickBot="1" x14ac:dyDescent="0.3">
      <c r="A144" s="12" t="s">
        <v>127</v>
      </c>
      <c r="B144" s="6" t="s">
        <v>419</v>
      </c>
      <c r="C144" s="351">
        <f t="shared" si="23"/>
        <v>0</v>
      </c>
      <c r="D144" s="99"/>
      <c r="E144" s="99"/>
      <c r="F144" s="99"/>
      <c r="G144" s="99"/>
      <c r="H144" s="99"/>
      <c r="I144" s="99"/>
      <c r="K144" s="320">
        <f>'2. sz.mell. '!C144+'3. sz.mell.'!C144+'4. sz.mell. '!C145+'5. sz.mell.'!C145</f>
        <v>0</v>
      </c>
      <c r="L144" s="322">
        <f t="shared" si="24"/>
        <v>0</v>
      </c>
    </row>
    <row r="145" spans="1:12" ht="12" customHeight="1" thickBot="1" x14ac:dyDescent="0.3">
      <c r="A145" s="10" t="s">
        <v>128</v>
      </c>
      <c r="B145" s="6" t="s">
        <v>420</v>
      </c>
      <c r="C145" s="397">
        <f t="shared" si="23"/>
        <v>0</v>
      </c>
      <c r="D145" s="99"/>
      <c r="E145" s="99"/>
      <c r="F145" s="99"/>
      <c r="G145" s="99"/>
      <c r="H145" s="99"/>
      <c r="I145" s="99"/>
      <c r="K145" s="320">
        <f>'2. sz.mell. '!C145+'3. sz.mell.'!C145+'4. sz.mell. '!C146+'5. sz.mell.'!C146</f>
        <v>0</v>
      </c>
      <c r="L145" s="323">
        <f t="shared" si="24"/>
        <v>0</v>
      </c>
    </row>
    <row r="146" spans="1:12" ht="12" customHeight="1" thickBot="1" x14ac:dyDescent="0.3">
      <c r="A146" s="17" t="s">
        <v>21</v>
      </c>
      <c r="B146" s="354" t="s">
        <v>421</v>
      </c>
      <c r="C146" s="356">
        <f t="shared" si="23"/>
        <v>55076107</v>
      </c>
      <c r="D146" s="259">
        <f t="shared" ref="D146:I146" si="31">+D147+D148+D149+D150</f>
        <v>55076107</v>
      </c>
      <c r="E146" s="115">
        <f t="shared" si="31"/>
        <v>0</v>
      </c>
      <c r="F146" s="115">
        <f t="shared" si="31"/>
        <v>0</v>
      </c>
      <c r="G146" s="115">
        <f t="shared" si="31"/>
        <v>0</v>
      </c>
      <c r="H146" s="115">
        <f t="shared" si="31"/>
        <v>0</v>
      </c>
      <c r="I146" s="115">
        <f t="shared" si="31"/>
        <v>0</v>
      </c>
      <c r="K146" s="320">
        <f>'2. sz.mell. '!C146+'3. sz.mell.'!C146+'4. sz.mell. '!C147+'5. sz.mell.'!C147</f>
        <v>55076107</v>
      </c>
      <c r="L146" s="320">
        <f t="shared" si="24"/>
        <v>0</v>
      </c>
    </row>
    <row r="147" spans="1:12" ht="12" customHeight="1" thickBot="1" x14ac:dyDescent="0.3">
      <c r="A147" s="12" t="s">
        <v>81</v>
      </c>
      <c r="B147" s="6" t="s">
        <v>304</v>
      </c>
      <c r="C147" s="352">
        <f t="shared" si="23"/>
        <v>0</v>
      </c>
      <c r="D147" s="99"/>
      <c r="E147" s="99"/>
      <c r="F147" s="99"/>
      <c r="G147" s="99"/>
      <c r="H147" s="99"/>
      <c r="I147" s="99"/>
      <c r="K147" s="320">
        <f>'2. sz.mell. '!C147+'3. sz.mell.'!C147+'4. sz.mell. '!C148+'5. sz.mell.'!C148</f>
        <v>0</v>
      </c>
      <c r="L147" s="321">
        <f t="shared" si="24"/>
        <v>0</v>
      </c>
    </row>
    <row r="148" spans="1:12" ht="12" customHeight="1" thickBot="1" x14ac:dyDescent="0.3">
      <c r="A148" s="12" t="s">
        <v>82</v>
      </c>
      <c r="B148" s="6" t="s">
        <v>305</v>
      </c>
      <c r="C148" s="351">
        <f t="shared" si="23"/>
        <v>55076107</v>
      </c>
      <c r="D148" s="99">
        <v>55076107</v>
      </c>
      <c r="E148" s="99"/>
      <c r="F148" s="99"/>
      <c r="G148" s="99"/>
      <c r="H148" s="99"/>
      <c r="I148" s="99"/>
      <c r="K148" s="320">
        <f>'2. sz.mell. '!C148+'3. sz.mell.'!C148+'4. sz.mell. '!C149+'5. sz.mell.'!C149</f>
        <v>55076107</v>
      </c>
      <c r="L148" s="322">
        <f t="shared" si="24"/>
        <v>0</v>
      </c>
    </row>
    <row r="149" spans="1:12" ht="12" customHeight="1" thickBot="1" x14ac:dyDescent="0.3">
      <c r="A149" s="12" t="s">
        <v>218</v>
      </c>
      <c r="B149" s="6" t="s">
        <v>422</v>
      </c>
      <c r="C149" s="352">
        <f t="shared" si="23"/>
        <v>0</v>
      </c>
      <c r="D149" s="99"/>
      <c r="E149" s="99"/>
      <c r="F149" s="99"/>
      <c r="G149" s="99"/>
      <c r="H149" s="99"/>
      <c r="I149" s="99"/>
      <c r="K149" s="320">
        <f>'2. sz.mell. '!C149+'3. sz.mell.'!C149+'4. sz.mell. '!C150+'5. sz.mell.'!C150</f>
        <v>0</v>
      </c>
      <c r="L149" s="322">
        <f t="shared" si="24"/>
        <v>0</v>
      </c>
    </row>
    <row r="150" spans="1:12" ht="12" customHeight="1" thickBot="1" x14ac:dyDescent="0.3">
      <c r="A150" s="10" t="s">
        <v>219</v>
      </c>
      <c r="B150" s="4" t="s">
        <v>323</v>
      </c>
      <c r="C150" s="355">
        <f t="shared" si="23"/>
        <v>0</v>
      </c>
      <c r="D150" s="99"/>
      <c r="E150" s="99"/>
      <c r="F150" s="99"/>
      <c r="G150" s="99"/>
      <c r="H150" s="99"/>
      <c r="I150" s="99"/>
      <c r="K150" s="320">
        <f>'2. sz.mell. '!C150+'3. sz.mell.'!C150+'4. sz.mell. '!C151+'5. sz.mell.'!C151</f>
        <v>0</v>
      </c>
      <c r="L150" s="323">
        <f t="shared" si="24"/>
        <v>0</v>
      </c>
    </row>
    <row r="151" spans="1:12" ht="12" customHeight="1" thickBot="1" x14ac:dyDescent="0.3">
      <c r="A151" s="17" t="s">
        <v>22</v>
      </c>
      <c r="B151" s="354" t="s">
        <v>423</v>
      </c>
      <c r="C151" s="356">
        <f t="shared" si="23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  <c r="K151" s="320">
        <f>'2. sz.mell. '!C151+'3. sz.mell.'!C151+'4. sz.mell. '!C152+'5. sz.mell.'!C152</f>
        <v>0</v>
      </c>
      <c r="L151" s="320">
        <f t="shared" si="24"/>
        <v>0</v>
      </c>
    </row>
    <row r="152" spans="1:12" ht="12" customHeight="1" thickBot="1" x14ac:dyDescent="0.3">
      <c r="A152" s="12" t="s">
        <v>83</v>
      </c>
      <c r="B152" s="6" t="s">
        <v>424</v>
      </c>
      <c r="C152" s="352">
        <f t="shared" si="23"/>
        <v>0</v>
      </c>
      <c r="D152" s="99"/>
      <c r="E152" s="99"/>
      <c r="F152" s="99"/>
      <c r="G152" s="99"/>
      <c r="H152" s="99"/>
      <c r="I152" s="99"/>
      <c r="K152" s="320">
        <f>'2. sz.mell. '!C152+'3. sz.mell.'!C152+'4. sz.mell. '!C153+'5. sz.mell.'!C153</f>
        <v>0</v>
      </c>
      <c r="L152" s="321">
        <f t="shared" si="24"/>
        <v>0</v>
      </c>
    </row>
    <row r="153" spans="1:12" ht="12" customHeight="1" thickBot="1" x14ac:dyDescent="0.3">
      <c r="A153" s="12" t="s">
        <v>84</v>
      </c>
      <c r="B153" s="6" t="s">
        <v>425</v>
      </c>
      <c r="C153" s="352">
        <f t="shared" si="23"/>
        <v>0</v>
      </c>
      <c r="D153" s="99"/>
      <c r="E153" s="99"/>
      <c r="F153" s="99"/>
      <c r="G153" s="99"/>
      <c r="H153" s="99"/>
      <c r="I153" s="99"/>
      <c r="K153" s="320">
        <f>'2. sz.mell. '!C153+'3. sz.mell.'!C153+'4. sz.mell. '!C154+'5. sz.mell.'!C154</f>
        <v>0</v>
      </c>
      <c r="L153" s="322">
        <f t="shared" si="24"/>
        <v>0</v>
      </c>
    </row>
    <row r="154" spans="1:12" ht="12" customHeight="1" thickBot="1" x14ac:dyDescent="0.3">
      <c r="A154" s="12" t="s">
        <v>230</v>
      </c>
      <c r="B154" s="6" t="s">
        <v>426</v>
      </c>
      <c r="C154" s="352">
        <f t="shared" si="23"/>
        <v>0</v>
      </c>
      <c r="D154" s="99"/>
      <c r="E154" s="99"/>
      <c r="F154" s="99"/>
      <c r="G154" s="99"/>
      <c r="H154" s="99"/>
      <c r="I154" s="99"/>
      <c r="K154" s="320">
        <f>'2. sz.mell. '!C154+'3. sz.mell.'!C154+'4. sz.mell. '!C155+'5. sz.mell.'!C155</f>
        <v>0</v>
      </c>
      <c r="L154" s="322">
        <f t="shared" si="24"/>
        <v>0</v>
      </c>
    </row>
    <row r="155" spans="1:12" ht="12" customHeight="1" thickBot="1" x14ac:dyDescent="0.3">
      <c r="A155" s="12" t="s">
        <v>231</v>
      </c>
      <c r="B155" s="6" t="s">
        <v>427</v>
      </c>
      <c r="C155" s="352">
        <f t="shared" si="23"/>
        <v>0</v>
      </c>
      <c r="D155" s="99"/>
      <c r="E155" s="99"/>
      <c r="F155" s="99"/>
      <c r="G155" s="99"/>
      <c r="H155" s="99"/>
      <c r="I155" s="99"/>
      <c r="K155" s="320">
        <f>'2. sz.mell. '!C155+'3. sz.mell.'!C155+'4. sz.mell. '!C156+'5. sz.mell.'!C156</f>
        <v>0</v>
      </c>
      <c r="L155" s="322">
        <f t="shared" si="24"/>
        <v>0</v>
      </c>
    </row>
    <row r="156" spans="1:12" ht="12" customHeight="1" thickBot="1" x14ac:dyDescent="0.3">
      <c r="A156" s="12" t="s">
        <v>428</v>
      </c>
      <c r="B156" s="6" t="s">
        <v>429</v>
      </c>
      <c r="C156" s="355">
        <f t="shared" si="23"/>
        <v>0</v>
      </c>
      <c r="D156" s="100"/>
      <c r="E156" s="100"/>
      <c r="F156" s="99"/>
      <c r="G156" s="99"/>
      <c r="H156" s="99"/>
      <c r="I156" s="99"/>
      <c r="K156" s="320">
        <f>'2. sz.mell. '!C156+'3. sz.mell.'!C156+'4. sz.mell. '!C157+'5. sz.mell.'!C157</f>
        <v>0</v>
      </c>
      <c r="L156" s="323">
        <f t="shared" si="24"/>
        <v>0</v>
      </c>
    </row>
    <row r="157" spans="1:12" ht="12" customHeight="1" thickBot="1" x14ac:dyDescent="0.3">
      <c r="A157" s="17" t="s">
        <v>23</v>
      </c>
      <c r="B157" s="354" t="s">
        <v>430</v>
      </c>
      <c r="C157" s="356">
        <f t="shared" si="23"/>
        <v>0</v>
      </c>
      <c r="D157" s="264"/>
      <c r="E157" s="118"/>
      <c r="F157" s="243"/>
      <c r="G157" s="243"/>
      <c r="H157" s="243"/>
      <c r="I157" s="243"/>
      <c r="K157" s="320">
        <f>'2. sz.mell. '!C157+'3. sz.mell.'!C157+'4. sz.mell. '!C158+'5. sz.mell.'!C158</f>
        <v>0</v>
      </c>
      <c r="L157" s="320">
        <f t="shared" si="24"/>
        <v>0</v>
      </c>
    </row>
    <row r="158" spans="1:12" ht="12" customHeight="1" thickBot="1" x14ac:dyDescent="0.3">
      <c r="A158" s="17" t="s">
        <v>24</v>
      </c>
      <c r="B158" s="354" t="s">
        <v>431</v>
      </c>
      <c r="C158" s="356">
        <f t="shared" si="23"/>
        <v>0</v>
      </c>
      <c r="D158" s="264"/>
      <c r="E158" s="118"/>
      <c r="F158" s="243"/>
      <c r="G158" s="243"/>
      <c r="H158" s="243"/>
      <c r="I158" s="243"/>
      <c r="K158" s="320">
        <f>'2. sz.mell. '!C158+'3. sz.mell.'!C158+'4. sz.mell. '!C159+'5. sz.mell.'!C159</f>
        <v>0</v>
      </c>
      <c r="L158" s="320">
        <f t="shared" si="24"/>
        <v>0</v>
      </c>
    </row>
    <row r="159" spans="1:12" ht="15" customHeight="1" thickBot="1" x14ac:dyDescent="0.3">
      <c r="A159" s="17" t="s">
        <v>25</v>
      </c>
      <c r="B159" s="354" t="s">
        <v>432</v>
      </c>
      <c r="C159" s="1287">
        <f t="shared" si="23"/>
        <v>1127804403</v>
      </c>
      <c r="D159" s="265">
        <f t="shared" ref="D159:I159" si="32">+D135+D139+D146+D151+D157+D158</f>
        <v>1127804403</v>
      </c>
      <c r="E159" s="189">
        <f t="shared" si="32"/>
        <v>0</v>
      </c>
      <c r="F159" s="189">
        <f t="shared" si="32"/>
        <v>0</v>
      </c>
      <c r="G159" s="189">
        <f t="shared" si="32"/>
        <v>0</v>
      </c>
      <c r="H159" s="189">
        <f t="shared" si="32"/>
        <v>0</v>
      </c>
      <c r="I159" s="189">
        <f t="shared" si="32"/>
        <v>0</v>
      </c>
      <c r="J159" s="190"/>
      <c r="K159" s="320">
        <f>'2. sz.mell. '!C159+'3. sz.mell.'!C159+'4. sz.mell. '!C160+'5. sz.mell.'!C160</f>
        <v>1127804403</v>
      </c>
      <c r="L159" s="320">
        <f t="shared" si="24"/>
        <v>0</v>
      </c>
    </row>
    <row r="160" spans="1:12" s="179" customFormat="1" ht="12.95" customHeight="1" thickBot="1" x14ac:dyDescent="0.25">
      <c r="A160" s="108" t="s">
        <v>26</v>
      </c>
      <c r="B160" s="357" t="s">
        <v>433</v>
      </c>
      <c r="C160" s="356">
        <f t="shared" si="23"/>
        <v>8186535568</v>
      </c>
      <c r="D160" s="265">
        <f t="shared" ref="D160:I160" si="33">+D134+D159</f>
        <v>5920588618</v>
      </c>
      <c r="E160" s="189">
        <f t="shared" si="33"/>
        <v>490609284</v>
      </c>
      <c r="F160" s="189">
        <f t="shared" si="33"/>
        <v>386086999</v>
      </c>
      <c r="G160" s="189">
        <f t="shared" si="33"/>
        <v>156510309</v>
      </c>
      <c r="H160" s="189">
        <f t="shared" si="33"/>
        <v>135080805</v>
      </c>
      <c r="I160" s="189">
        <f t="shared" si="33"/>
        <v>1097659553</v>
      </c>
      <c r="K160" s="320">
        <f>'2. sz.mell. '!C160+'3. sz.mell.'!C160+'4. sz.mell. '!C161+'5. sz.mell.'!C161</f>
        <v>8186535568</v>
      </c>
      <c r="L160" s="320">
        <f t="shared" si="24"/>
        <v>0</v>
      </c>
    </row>
    <row r="161" spans="1:9" x14ac:dyDescent="0.25">
      <c r="A161" s="1324" t="s">
        <v>306</v>
      </c>
      <c r="B161" s="1324"/>
      <c r="C161" s="1324"/>
    </row>
    <row r="162" spans="1:9" ht="15" customHeight="1" thickBot="1" x14ac:dyDescent="0.3">
      <c r="A162" s="1327" t="s">
        <v>116</v>
      </c>
      <c r="B162" s="1327"/>
      <c r="C162" s="787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5">
        <f>+C69-C134</f>
        <v>-2589933148</v>
      </c>
      <c r="D163" s="283"/>
    </row>
    <row r="164" spans="1:9" ht="15" customHeight="1" thickBot="1" x14ac:dyDescent="0.3">
      <c r="A164" s="17" t="s">
        <v>17</v>
      </c>
      <c r="B164" s="22" t="s">
        <v>715</v>
      </c>
      <c r="C164" s="115">
        <f>+C93-C159</f>
        <v>2589933148</v>
      </c>
      <c r="F164" s="190"/>
      <c r="G164" s="190"/>
      <c r="H164" s="190"/>
      <c r="I164" s="190"/>
    </row>
  </sheetData>
  <mergeCells count="12">
    <mergeCell ref="A1:C1"/>
    <mergeCell ref="A162:B162"/>
    <mergeCell ref="A7:C7"/>
    <mergeCell ref="A95:C95"/>
    <mergeCell ref="A96:B96"/>
    <mergeCell ref="A161:C161"/>
    <mergeCell ref="D4:I4"/>
    <mergeCell ref="D5:I5"/>
    <mergeCell ref="D3:I3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15" zoomScaleNormal="115" zoomScalePageLayoutView="7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85" t="str">
        <f>CONCATENATE("14. melléklet"," ",ALAPADATOK!A7," ",ALAPADATOK!B7," ",ALAPADATOK!C7," ",ALAPADATOK!D8," ",ALAPADATOK!E7," ",ALAPADATOK!F7," ",ALAPADATOK!G7," ",ALAPADATOK!H7)</f>
        <v>14. melléklet az 5 / 2023. ( II.24. ) önkormányzati rendelethez</v>
      </c>
      <c r="B1" s="1385"/>
      <c r="C1" s="1385"/>
    </row>
    <row r="2" spans="1:3" s="1" customFormat="1" ht="21" customHeight="1" x14ac:dyDescent="0.2">
      <c r="A2" s="75"/>
      <c r="B2" s="76"/>
      <c r="C2" s="211"/>
    </row>
    <row r="3" spans="1:3" s="37" customFormat="1" ht="35.25" customHeight="1" thickBot="1" x14ac:dyDescent="0.25">
      <c r="A3" s="1335" t="s">
        <v>899</v>
      </c>
      <c r="B3" s="1335"/>
      <c r="C3" s="1335"/>
    </row>
    <row r="4" spans="1:3" ht="13.5" thickBot="1" x14ac:dyDescent="0.25">
      <c r="A4" s="172" t="s">
        <v>153</v>
      </c>
      <c r="B4" s="79" t="s">
        <v>50</v>
      </c>
      <c r="C4" s="80" t="s">
        <v>895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52900387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>
        <v>10800000</v>
      </c>
    </row>
    <row r="10" spans="1:3" s="38" customFormat="1" ht="12" customHeight="1" x14ac:dyDescent="0.2">
      <c r="A10" s="207" t="s">
        <v>87</v>
      </c>
      <c r="B10" s="5" t="s">
        <v>209</v>
      </c>
      <c r="C10" s="36">
        <f>4604339+357600</f>
        <v>4961939</v>
      </c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>
        <v>18214365</v>
      </c>
    </row>
    <row r="13" spans="1:3" s="38" customFormat="1" ht="12" customHeight="1" x14ac:dyDescent="0.2">
      <c r="A13" s="207" t="s">
        <v>89</v>
      </c>
      <c r="B13" s="5" t="s">
        <v>331</v>
      </c>
      <c r="C13" s="36">
        <f>6647050+57216</f>
        <v>6704266</v>
      </c>
    </row>
    <row r="14" spans="1:3" s="38" customFormat="1" ht="12" customHeight="1" x14ac:dyDescent="0.2">
      <c r="A14" s="207" t="s">
        <v>90</v>
      </c>
      <c r="B14" s="4" t="s">
        <v>332</v>
      </c>
      <c r="C14" s="36">
        <v>12219817</v>
      </c>
    </row>
    <row r="15" spans="1:3" s="38" customFormat="1" ht="12" customHeight="1" x14ac:dyDescent="0.2">
      <c r="A15" s="207" t="s">
        <v>100</v>
      </c>
      <c r="B15" s="5" t="s">
        <v>214</v>
      </c>
      <c r="C15" s="157"/>
    </row>
    <row r="16" spans="1:3" s="39" customFormat="1" ht="12" customHeight="1" x14ac:dyDescent="0.2">
      <c r="A16" s="207" t="s">
        <v>101</v>
      </c>
      <c r="B16" s="5" t="s">
        <v>215</v>
      </c>
      <c r="C16" s="122"/>
    </row>
    <row r="17" spans="1:3" s="39" customFormat="1" ht="12" customHeight="1" x14ac:dyDescent="0.2">
      <c r="A17" s="207" t="s">
        <v>102</v>
      </c>
      <c r="B17" s="5" t="s">
        <v>391</v>
      </c>
      <c r="C17" s="123"/>
    </row>
    <row r="18" spans="1:3" s="39" customFormat="1" ht="12" customHeight="1" thickBot="1" x14ac:dyDescent="0.25">
      <c r="A18" s="207" t="s">
        <v>103</v>
      </c>
      <c r="B18" s="4" t="s">
        <v>216</v>
      </c>
      <c r="C18" s="123"/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16865647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36">
        <f>4442252+12423395</f>
        <v>16865647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1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9" customFormat="1" ht="12" customHeight="1" thickBot="1" x14ac:dyDescent="0.25">
      <c r="A33" s="207" t="s">
        <v>80</v>
      </c>
      <c r="B33" s="57" t="s">
        <v>223</v>
      </c>
      <c r="C33" s="671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69766034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2">
        <f>+C38+C39+C40</f>
        <v>180915259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v>383395</v>
      </c>
    </row>
    <row r="39" spans="1:3" s="38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2" customHeight="1" thickBot="1" x14ac:dyDescent="0.25">
      <c r="A40" s="207" t="s">
        <v>343</v>
      </c>
      <c r="B40" s="57" t="s">
        <v>344</v>
      </c>
      <c r="C40" s="887">
        <f>174879697+536160+953346+400000+25400000-21637339</f>
        <v>180531864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250681293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" customHeight="1" thickBot="1" x14ac:dyDescent="0.25">
      <c r="A45" s="74" t="s">
        <v>16</v>
      </c>
      <c r="B45" s="54" t="s">
        <v>346</v>
      </c>
      <c r="C45" s="124">
        <f>SUM(C46:C50)</f>
        <v>269063632</v>
      </c>
    </row>
    <row r="46" spans="1:3" ht="12" customHeight="1" x14ac:dyDescent="0.2">
      <c r="A46" s="207" t="s">
        <v>85</v>
      </c>
      <c r="B46" s="6" t="s">
        <v>46</v>
      </c>
      <c r="C46" s="673">
        <f>7358860+3835000+11057957-3175000</f>
        <v>19076817</v>
      </c>
    </row>
    <row r="47" spans="1:3" ht="12" customHeight="1" x14ac:dyDescent="0.2">
      <c r="A47" s="207" t="s">
        <v>86</v>
      </c>
      <c r="B47" s="5" t="s">
        <v>134</v>
      </c>
      <c r="C47" s="36">
        <f>1027686+543412+1419662</f>
        <v>2990760</v>
      </c>
    </row>
    <row r="48" spans="1:3" ht="12" customHeight="1" x14ac:dyDescent="0.2">
      <c r="A48" s="207" t="s">
        <v>87</v>
      </c>
      <c r="B48" s="5" t="s">
        <v>110</v>
      </c>
      <c r="C48" s="36">
        <f>219282117+1014816+1299122+25400000</f>
        <v>246996055</v>
      </c>
    </row>
    <row r="49" spans="1:3" ht="12" customHeight="1" x14ac:dyDescent="0.2">
      <c r="A49" s="207" t="s">
        <v>88</v>
      </c>
      <c r="B49" s="5" t="s">
        <v>135</v>
      </c>
      <c r="C49" s="674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80000</v>
      </c>
    </row>
    <row r="52" spans="1:3" s="213" customFormat="1" ht="12" customHeight="1" x14ac:dyDescent="0.2">
      <c r="A52" s="207" t="s">
        <v>91</v>
      </c>
      <c r="B52" s="6" t="s">
        <v>157</v>
      </c>
      <c r="C52" s="34">
        <v>80000</v>
      </c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269143632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459</v>
      </c>
      <c r="B59" s="96"/>
      <c r="C59" s="1081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topLeftCell="A55" workbookViewId="0">
      <selection activeCell="D17" sqref="D17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85" t="str">
        <f>CONCATENATE("14. melléklet ",ALAPADATOK!A7," ",ALAPADATOK!B7," ",ALAPADATOK!C7," ",ALAPADATOK!D7," ",ALAPADATOK!E7," ",ALAPADATOK!F7," ",ALAPADATOK!G7," ",ALAPADATOK!H7)</f>
        <v>14. melléklet az 5 / 2022. ( II.24. ) önkormányzati rendelethez</v>
      </c>
      <c r="B1" s="1385"/>
      <c r="C1" s="1385"/>
    </row>
    <row r="2" spans="1:3" s="1" customFormat="1" ht="21" customHeight="1" x14ac:dyDescent="0.2">
      <c r="A2" s="75"/>
      <c r="B2" s="76"/>
      <c r="C2" s="211"/>
    </row>
    <row r="3" spans="1:3" s="1" customFormat="1" ht="21" customHeight="1" thickBot="1" x14ac:dyDescent="0.25">
      <c r="A3" s="1335" t="s">
        <v>1020</v>
      </c>
      <c r="B3" s="1335"/>
      <c r="C3" s="1335"/>
    </row>
    <row r="4" spans="1:3" s="1" customFormat="1" ht="21" customHeight="1" thickBot="1" x14ac:dyDescent="0.25">
      <c r="A4" s="172" t="s">
        <v>153</v>
      </c>
      <c r="B4" s="79" t="s">
        <v>50</v>
      </c>
      <c r="C4" s="80" t="s">
        <v>895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0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/>
    </row>
    <row r="10" spans="1:3" s="38" customFormat="1" ht="12" customHeight="1" x14ac:dyDescent="0.2">
      <c r="A10" s="207" t="s">
        <v>87</v>
      </c>
      <c r="B10" s="5" t="s">
        <v>209</v>
      </c>
      <c r="C10" s="36"/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/>
    </row>
    <row r="13" spans="1:3" s="38" customFormat="1" ht="12" customHeight="1" x14ac:dyDescent="0.2">
      <c r="A13" s="207" t="s">
        <v>89</v>
      </c>
      <c r="B13" s="5" t="s">
        <v>331</v>
      </c>
      <c r="C13" s="36"/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125"/>
    </row>
    <row r="16" spans="1:3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87"/>
    </row>
    <row r="18" spans="1:3" s="39" customFormat="1" ht="12" customHeight="1" thickBot="1" x14ac:dyDescent="0.25">
      <c r="A18" s="207" t="s">
        <v>103</v>
      </c>
      <c r="B18" s="4" t="s">
        <v>216</v>
      </c>
      <c r="C18" s="387"/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674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1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9" customFormat="1" ht="12" customHeight="1" thickBot="1" x14ac:dyDescent="0.25">
      <c r="A33" s="207" t="s">
        <v>80</v>
      </c>
      <c r="B33" s="57" t="s">
        <v>223</v>
      </c>
      <c r="C33" s="671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0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2">
        <f>+C38+C39+C40</f>
        <v>108914</v>
      </c>
    </row>
    <row r="38" spans="1:3" s="38" customFormat="1" ht="12" customHeight="1" x14ac:dyDescent="0.2">
      <c r="A38" s="208" t="s">
        <v>341</v>
      </c>
      <c r="B38" s="209" t="s">
        <v>166</v>
      </c>
      <c r="C38" s="34"/>
    </row>
    <row r="39" spans="1:3" s="38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2" customHeight="1" thickBot="1" x14ac:dyDescent="0.25">
      <c r="A40" s="207" t="s">
        <v>343</v>
      </c>
      <c r="B40" s="57" t="s">
        <v>344</v>
      </c>
      <c r="C40" s="671">
        <v>108914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108914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" customHeight="1" thickBot="1" x14ac:dyDescent="0.25">
      <c r="A45" s="74" t="s">
        <v>16</v>
      </c>
      <c r="B45" s="54" t="s">
        <v>346</v>
      </c>
      <c r="C45" s="124">
        <f>SUM(C46:C50)</f>
        <v>108914</v>
      </c>
    </row>
    <row r="46" spans="1:3" ht="12" customHeight="1" x14ac:dyDescent="0.2">
      <c r="A46" s="207" t="s">
        <v>85</v>
      </c>
      <c r="B46" s="6" t="s">
        <v>46</v>
      </c>
      <c r="C46" s="673"/>
    </row>
    <row r="47" spans="1:3" ht="12" customHeight="1" x14ac:dyDescent="0.2">
      <c r="A47" s="207" t="s">
        <v>86</v>
      </c>
      <c r="B47" s="5" t="s">
        <v>134</v>
      </c>
      <c r="C47" s="36">
        <v>7314</v>
      </c>
    </row>
    <row r="48" spans="1:3" ht="12" customHeight="1" x14ac:dyDescent="0.2">
      <c r="A48" s="207" t="s">
        <v>87</v>
      </c>
      <c r="B48" s="5" t="s">
        <v>110</v>
      </c>
      <c r="C48" s="36">
        <v>101600</v>
      </c>
    </row>
    <row r="49" spans="1:3" ht="12" customHeight="1" x14ac:dyDescent="0.2">
      <c r="A49" s="207" t="s">
        <v>88</v>
      </c>
      <c r="B49" s="5" t="s">
        <v>135</v>
      </c>
      <c r="C49" s="36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s="213" customFormat="1" ht="12" customHeight="1" x14ac:dyDescent="0.2">
      <c r="A52" s="207" t="s">
        <v>91</v>
      </c>
      <c r="B52" s="6" t="s">
        <v>157</v>
      </c>
      <c r="C52" s="673"/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108914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459</v>
      </c>
      <c r="B59" s="96"/>
      <c r="C59" s="389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59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85" t="str">
        <f>CONCATENATE("15. melléklet"," ",ALAPADATOK!A7," ",ALAPADATOK!B7," ",ALAPADATOK!C7," ",ALAPADATOK!D8," ",ALAPADATOK!E7," ",ALAPADATOK!F7," ",ALAPADATOK!G7," ",ALAPADATOK!H7)</f>
        <v>15. melléklet az 5 / 2023. ( II.24. ) önkormányzati rendelethez</v>
      </c>
      <c r="B1" s="1385"/>
      <c r="C1" s="1385"/>
    </row>
    <row r="2" spans="1:3" s="1" customFormat="1" ht="21" customHeight="1" x14ac:dyDescent="0.2">
      <c r="A2" s="75"/>
      <c r="B2" s="76"/>
      <c r="C2" s="211"/>
    </row>
    <row r="3" spans="1:3" s="37" customFormat="1" ht="33.75" customHeight="1" thickBot="1" x14ac:dyDescent="0.25">
      <c r="A3" s="1335" t="s">
        <v>900</v>
      </c>
      <c r="B3" s="1335"/>
      <c r="C3" s="1335"/>
    </row>
    <row r="4" spans="1:3" ht="13.5" thickBot="1" x14ac:dyDescent="0.25">
      <c r="A4" s="172" t="s">
        <v>153</v>
      </c>
      <c r="B4" s="79" t="s">
        <v>50</v>
      </c>
      <c r="C4" s="80" t="s">
        <v>895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481000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/>
    </row>
    <row r="10" spans="1:3" s="38" customFormat="1" ht="12" customHeight="1" x14ac:dyDescent="0.2">
      <c r="A10" s="207" t="s">
        <v>87</v>
      </c>
      <c r="B10" s="5" t="s">
        <v>209</v>
      </c>
      <c r="C10" s="36">
        <v>300000</v>
      </c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/>
    </row>
    <row r="13" spans="1:3" s="38" customFormat="1" ht="12" customHeight="1" x14ac:dyDescent="0.2">
      <c r="A13" s="207" t="s">
        <v>89</v>
      </c>
      <c r="B13" s="5" t="s">
        <v>331</v>
      </c>
      <c r="C13" s="36">
        <v>81000</v>
      </c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125"/>
    </row>
    <row r="16" spans="1:3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87"/>
    </row>
    <row r="18" spans="1:3" s="39" customFormat="1" ht="12" customHeight="1" thickBot="1" x14ac:dyDescent="0.25">
      <c r="A18" s="207" t="s">
        <v>103</v>
      </c>
      <c r="B18" s="4" t="s">
        <v>216</v>
      </c>
      <c r="C18" s="387">
        <v>100000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674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1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4" s="39" customFormat="1" ht="12" customHeight="1" thickBot="1" x14ac:dyDescent="0.25">
      <c r="A33" s="207" t="s">
        <v>80</v>
      </c>
      <c r="B33" s="57" t="s">
        <v>223</v>
      </c>
      <c r="C33" s="671"/>
    </row>
    <row r="34" spans="1:4" s="38" customFormat="1" ht="12" customHeight="1" thickBot="1" x14ac:dyDescent="0.25">
      <c r="A34" s="74" t="s">
        <v>21</v>
      </c>
      <c r="B34" s="54" t="s">
        <v>309</v>
      </c>
      <c r="C34" s="142"/>
    </row>
    <row r="35" spans="1:4" s="38" customFormat="1" ht="12" customHeight="1" thickBot="1" x14ac:dyDescent="0.25">
      <c r="A35" s="74" t="s">
        <v>22</v>
      </c>
      <c r="B35" s="54" t="s">
        <v>338</v>
      </c>
      <c r="C35" s="158"/>
    </row>
    <row r="36" spans="1:4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481000</v>
      </c>
    </row>
    <row r="37" spans="1:4" s="38" customFormat="1" ht="12" customHeight="1" thickBot="1" x14ac:dyDescent="0.25">
      <c r="A37" s="85" t="s">
        <v>24</v>
      </c>
      <c r="B37" s="54" t="s">
        <v>340</v>
      </c>
      <c r="C37" s="672">
        <f>+C38+C39+C40</f>
        <v>266277927</v>
      </c>
    </row>
    <row r="38" spans="1:4" s="38" customFormat="1" ht="12" customHeight="1" x14ac:dyDescent="0.2">
      <c r="A38" s="208" t="s">
        <v>341</v>
      </c>
      <c r="B38" s="209" t="s">
        <v>166</v>
      </c>
      <c r="C38" s="34"/>
      <c r="D38" s="255"/>
    </row>
    <row r="39" spans="1:4" s="38" customFormat="1" ht="12" customHeight="1" x14ac:dyDescent="0.2">
      <c r="A39" s="208" t="s">
        <v>342</v>
      </c>
      <c r="B39" s="210" t="s">
        <v>6</v>
      </c>
      <c r="C39" s="125"/>
    </row>
    <row r="40" spans="1:4" s="39" customFormat="1" ht="12" customHeight="1" thickBot="1" x14ac:dyDescent="0.25">
      <c r="A40" s="207" t="s">
        <v>343</v>
      </c>
      <c r="B40" s="57" t="s">
        <v>344</v>
      </c>
      <c r="C40" s="887">
        <f>262270707+881400+922320-400000+635000+1968500</f>
        <v>266277927</v>
      </c>
    </row>
    <row r="41" spans="1:4" s="39" customFormat="1" ht="15" customHeight="1" thickBot="1" x14ac:dyDescent="0.25">
      <c r="A41" s="85" t="s">
        <v>25</v>
      </c>
      <c r="B41" s="86" t="s">
        <v>345</v>
      </c>
      <c r="C41" s="161">
        <f>+C36+C37</f>
        <v>266758927</v>
      </c>
    </row>
    <row r="42" spans="1:4" s="39" customFormat="1" ht="15" customHeight="1" x14ac:dyDescent="0.2">
      <c r="A42" s="87"/>
      <c r="B42" s="88"/>
      <c r="C42" s="159"/>
    </row>
    <row r="43" spans="1:4" ht="13.5" thickBot="1" x14ac:dyDescent="0.25">
      <c r="A43" s="89"/>
      <c r="B43" s="90"/>
      <c r="C43" s="160"/>
    </row>
    <row r="44" spans="1:4" s="32" customFormat="1" ht="16.5" customHeight="1" thickBot="1" x14ac:dyDescent="0.25">
      <c r="A44" s="91"/>
      <c r="B44" s="92" t="s">
        <v>53</v>
      </c>
      <c r="C44" s="161"/>
    </row>
    <row r="45" spans="1:4" s="213" customFormat="1" ht="12" customHeight="1" thickBot="1" x14ac:dyDescent="0.25">
      <c r="A45" s="74" t="s">
        <v>16</v>
      </c>
      <c r="B45" s="54" t="s">
        <v>346</v>
      </c>
      <c r="C45" s="124">
        <f>SUM(C46:C50)</f>
        <v>247753917</v>
      </c>
    </row>
    <row r="46" spans="1:4" ht="12" customHeight="1" x14ac:dyDescent="0.2">
      <c r="A46" s="207" t="s">
        <v>85</v>
      </c>
      <c r="B46" s="6" t="s">
        <v>46</v>
      </c>
      <c r="C46" s="673">
        <f>191896633+780000+338355-4900000</f>
        <v>188114988</v>
      </c>
    </row>
    <row r="47" spans="1:4" ht="12" customHeight="1" x14ac:dyDescent="0.2">
      <c r="A47" s="207" t="s">
        <v>86</v>
      </c>
      <c r="B47" s="5" t="s">
        <v>134</v>
      </c>
      <c r="C47" s="674">
        <f>32762395+101400+43965-5500000</f>
        <v>27407760</v>
      </c>
    </row>
    <row r="48" spans="1:4" ht="12" customHeight="1" x14ac:dyDescent="0.2">
      <c r="A48" s="207" t="s">
        <v>87</v>
      </c>
      <c r="B48" s="5" t="s">
        <v>110</v>
      </c>
      <c r="C48" s="674">
        <f>33077669+140000+635000+1968500-3590000</f>
        <v>32231169</v>
      </c>
    </row>
    <row r="49" spans="1:3" ht="12" customHeight="1" x14ac:dyDescent="0.2">
      <c r="A49" s="207" t="s">
        <v>88</v>
      </c>
      <c r="B49" s="5" t="s">
        <v>135</v>
      </c>
      <c r="C49" s="36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542671</v>
      </c>
    </row>
    <row r="52" spans="1:3" s="213" customFormat="1" ht="12" customHeight="1" x14ac:dyDescent="0.2">
      <c r="A52" s="207" t="s">
        <v>91</v>
      </c>
      <c r="B52" s="6" t="s">
        <v>157</v>
      </c>
      <c r="C52" s="673">
        <f>5015010-4472339</f>
        <v>542671</v>
      </c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248296588</v>
      </c>
    </row>
    <row r="58" spans="1:3" ht="15" customHeight="1" thickBot="1" x14ac:dyDescent="0.25">
      <c r="C58" s="163"/>
    </row>
    <row r="59" spans="1:3" ht="14.25" customHeight="1" thickBot="1" x14ac:dyDescent="0.25">
      <c r="A59" s="1376" t="s">
        <v>459</v>
      </c>
      <c r="B59" s="1377"/>
      <c r="C59" s="1080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zoomScale="130" zoomScaleNormal="13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6" width="11.83203125" style="647" hidden="1" customWidth="1"/>
    <col min="7" max="7" width="8" style="304" customWidth="1"/>
    <col min="8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x14ac:dyDescent="0.2">
      <c r="A1" s="1385" t="str">
        <f>CONCATENATE("16. melléklet"," ",ALAPADATOK!A7," ",ALAPADATOK!B7," ",ALAPADATOK!C7," ",ALAPADATOK!D8," ",ALAPADATOK!E7," ",ALAPADATOK!F7," ",ALAPADATOK!G7," ",ALAPADATOK!H7)</f>
        <v>16. melléklet az 5 / 2023. ( II.24. ) önkormányzati rendelethez</v>
      </c>
      <c r="B1" s="1385"/>
      <c r="C1" s="1385"/>
    </row>
    <row r="2" spans="1:6" s="1" customFormat="1" ht="21" customHeight="1" x14ac:dyDescent="0.2">
      <c r="A2" s="75"/>
      <c r="B2" s="76"/>
      <c r="C2" s="310"/>
      <c r="E2" s="647"/>
      <c r="F2" s="647"/>
    </row>
    <row r="3" spans="1:6" s="37" customFormat="1" ht="33" customHeight="1" thickBot="1" x14ac:dyDescent="0.25">
      <c r="A3" s="1335" t="s">
        <v>901</v>
      </c>
      <c r="B3" s="1335"/>
      <c r="C3" s="1335"/>
      <c r="E3" s="463"/>
      <c r="F3" s="463"/>
    </row>
    <row r="4" spans="1:6" ht="13.5" thickBot="1" x14ac:dyDescent="0.25">
      <c r="A4" s="172" t="s">
        <v>153</v>
      </c>
      <c r="B4" s="79" t="s">
        <v>50</v>
      </c>
      <c r="C4" s="314" t="s">
        <v>895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4"/>
      <c r="F5" s="464"/>
    </row>
    <row r="6" spans="1:6" s="32" customFormat="1" ht="15.95" customHeight="1" thickBot="1" x14ac:dyDescent="0.25">
      <c r="A6" s="81"/>
      <c r="B6" s="82" t="s">
        <v>52</v>
      </c>
      <c r="C6" s="316"/>
      <c r="E6" s="464"/>
      <c r="F6" s="464"/>
    </row>
    <row r="7" spans="1:6" s="38" customFormat="1" ht="12" customHeight="1" thickBot="1" x14ac:dyDescent="0.25">
      <c r="A7" s="71" t="s">
        <v>16</v>
      </c>
      <c r="B7" s="84" t="s">
        <v>461</v>
      </c>
      <c r="C7" s="524">
        <f>SUM(C8:C18)</f>
        <v>12717238</v>
      </c>
      <c r="E7" s="465">
        <f>'22. sz. mell EOI'!C7+'23.sz.mell EOI'!C7</f>
        <v>12717238</v>
      </c>
      <c r="F7" s="465">
        <f>C7-E7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525"/>
      <c r="E8" s="465">
        <f>'22. sz. mell EOI'!C8+'23.sz.mell EOI'!C8</f>
        <v>0</v>
      </c>
      <c r="F8" s="465">
        <f t="shared" ref="F8:F55" si="0">C8-E8</f>
        <v>0</v>
      </c>
    </row>
    <row r="9" spans="1:6" s="38" customFormat="1" ht="12" customHeight="1" x14ac:dyDescent="0.2">
      <c r="A9" s="207" t="s">
        <v>86</v>
      </c>
      <c r="B9" s="5" t="s">
        <v>208</v>
      </c>
      <c r="C9" s="526">
        <v>600000</v>
      </c>
      <c r="E9" s="465">
        <f>'22. sz. mell EOI'!C9+'23.sz.mell EOI'!C9</f>
        <v>600000</v>
      </c>
      <c r="F9" s="465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526">
        <v>6080000</v>
      </c>
      <c r="E10" s="465">
        <f>'22. sz. mell EOI'!C10+'23.sz.mell EOI'!C10</f>
        <v>6080000</v>
      </c>
      <c r="F10" s="465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526"/>
      <c r="E11" s="465">
        <f>'22. sz. mell EOI'!C11+'23.sz.mell EOI'!C11</f>
        <v>0</v>
      </c>
      <c r="F11" s="465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526">
        <v>3325699</v>
      </c>
      <c r="E12" s="465">
        <f>'22. sz. mell EOI'!C12+'23.sz.mell EOI'!C12</f>
        <v>3325699</v>
      </c>
      <c r="F12" s="465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526">
        <v>2701539</v>
      </c>
      <c r="E13" s="465">
        <f>'22. sz. mell EOI'!C13+'23.sz.mell EOI'!C13</f>
        <v>2701539</v>
      </c>
      <c r="F13" s="465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526"/>
      <c r="E14" s="465">
        <f>'22. sz. mell EOI'!C14+'23.sz.mell EOI'!C14</f>
        <v>0</v>
      </c>
      <c r="F14" s="465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527"/>
      <c r="E15" s="465">
        <f>'22. sz. mell EOI'!C15+'23.sz.mell EOI'!C15</f>
        <v>0</v>
      </c>
      <c r="F15" s="465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526"/>
      <c r="E16" s="465">
        <f>'22. sz. mell EOI'!C16+'23.sz.mell EOI'!C16</f>
        <v>0</v>
      </c>
      <c r="F16" s="465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28"/>
      <c r="E17" s="465">
        <f>'22. sz. mell EOI'!C17+'23.sz.mell EOI'!C17</f>
        <v>0</v>
      </c>
      <c r="F17" s="465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528">
        <v>10000</v>
      </c>
      <c r="E18" s="465">
        <f>'22. sz. mell EOI'!C18+'23.sz.mell EOI'!C18</f>
        <v>10000</v>
      </c>
      <c r="F18" s="465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4">
        <f>SUM(C20:C22)</f>
        <v>0</v>
      </c>
      <c r="E19" s="465">
        <f>'22. sz. mell EOI'!C19+'23.sz.mell EOI'!C19</f>
        <v>0</v>
      </c>
      <c r="F19" s="465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29"/>
      <c r="E20" s="465">
        <f>'22. sz. mell EOI'!C20+'23.sz.mell EOI'!C20</f>
        <v>0</v>
      </c>
      <c r="F20" s="465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26"/>
      <c r="E21" s="465">
        <f>'22. sz. mell EOI'!C21+'23.sz.mell EOI'!C21</f>
        <v>0</v>
      </c>
      <c r="F21" s="465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530"/>
      <c r="E22" s="465">
        <f>'22. sz. mell EOI'!C22+'23.sz.mell EOI'!C22</f>
        <v>0</v>
      </c>
      <c r="F22" s="465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26"/>
      <c r="E23" s="465">
        <f>'22. sz. mell EOI'!C23+'23.sz.mell EOI'!C23</f>
        <v>0</v>
      </c>
      <c r="F23" s="465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1"/>
      <c r="E24" s="465">
        <f>'22. sz. mell EOI'!C24+'23.sz.mell EOI'!C24</f>
        <v>0</v>
      </c>
      <c r="F24" s="465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4">
        <f>+C26+C27</f>
        <v>0</v>
      </c>
      <c r="E25" s="465">
        <f>'22. sz. mell EOI'!C25+'23.sz.mell EOI'!C25</f>
        <v>0</v>
      </c>
      <c r="F25" s="465">
        <f t="shared" si="0"/>
        <v>0</v>
      </c>
    </row>
    <row r="26" spans="1:6" s="39" customFormat="1" ht="12" customHeight="1" x14ac:dyDescent="0.2">
      <c r="A26" s="208" t="s">
        <v>198</v>
      </c>
      <c r="B26" s="209" t="s">
        <v>334</v>
      </c>
      <c r="C26" s="529"/>
      <c r="E26" s="465">
        <f>'22. sz. mell EOI'!C27+'23.sz.mell EOI'!C27</f>
        <v>0</v>
      </c>
      <c r="F26" s="465">
        <f t="shared" si="0"/>
        <v>0</v>
      </c>
    </row>
    <row r="27" spans="1:6" s="39" customFormat="1" ht="12" customHeight="1" x14ac:dyDescent="0.2">
      <c r="A27" s="208" t="s">
        <v>199</v>
      </c>
      <c r="B27" s="210" t="s">
        <v>336</v>
      </c>
      <c r="C27" s="529"/>
      <c r="E27" s="465">
        <f>'22. sz. mell EOI'!C28+'23.sz.mell EOI'!C28</f>
        <v>0</v>
      </c>
      <c r="F27" s="465">
        <f t="shared" si="0"/>
        <v>0</v>
      </c>
    </row>
    <row r="28" spans="1:6" s="39" customFormat="1" ht="12" customHeight="1" thickBot="1" x14ac:dyDescent="0.25">
      <c r="A28" s="207" t="s">
        <v>200</v>
      </c>
      <c r="B28" s="57" t="s">
        <v>464</v>
      </c>
      <c r="C28" s="533"/>
      <c r="E28" s="465">
        <f>'22. sz. mell EOI'!C29+'23.sz.mell EOI'!C29</f>
        <v>0</v>
      </c>
      <c r="F28" s="465">
        <f t="shared" si="0"/>
        <v>0</v>
      </c>
    </row>
    <row r="29" spans="1:6" s="39" customFormat="1" ht="12" customHeight="1" thickBot="1" x14ac:dyDescent="0.25">
      <c r="A29" s="74" t="s">
        <v>20</v>
      </c>
      <c r="B29" s="54" t="s">
        <v>337</v>
      </c>
      <c r="C29" s="524">
        <f>+C30+C31+C32</f>
        <v>0</v>
      </c>
      <c r="E29" s="465">
        <f>'22. sz. mell EOI'!C30+'23.sz.mell EOI'!C30</f>
        <v>0</v>
      </c>
      <c r="F29" s="465">
        <f t="shared" si="0"/>
        <v>0</v>
      </c>
    </row>
    <row r="30" spans="1:6" s="39" customFormat="1" ht="12" customHeight="1" x14ac:dyDescent="0.2">
      <c r="A30" s="208" t="s">
        <v>78</v>
      </c>
      <c r="B30" s="209" t="s">
        <v>221</v>
      </c>
      <c r="C30" s="532"/>
      <c r="E30" s="465">
        <f>'22. sz. mell EOI'!C31+'23.sz.mell EOI'!C31</f>
        <v>0</v>
      </c>
      <c r="F30" s="465">
        <f t="shared" si="0"/>
        <v>0</v>
      </c>
    </row>
    <row r="31" spans="1:6" s="39" customFormat="1" ht="12" customHeight="1" x14ac:dyDescent="0.2">
      <c r="A31" s="208" t="s">
        <v>79</v>
      </c>
      <c r="B31" s="210" t="s">
        <v>222</v>
      </c>
      <c r="C31" s="527"/>
      <c r="E31" s="465">
        <f>'22. sz. mell EOI'!C32+'23.sz.mell EOI'!C32</f>
        <v>0</v>
      </c>
      <c r="F31" s="465">
        <f t="shared" si="0"/>
        <v>0</v>
      </c>
    </row>
    <row r="32" spans="1:6" s="38" customFormat="1" ht="12" customHeight="1" thickBot="1" x14ac:dyDescent="0.25">
      <c r="A32" s="207" t="s">
        <v>80</v>
      </c>
      <c r="B32" s="57" t="s">
        <v>223</v>
      </c>
      <c r="C32" s="533"/>
      <c r="E32" s="465">
        <f>'22. sz. mell EOI'!C33+'23.sz.mell EOI'!C33</f>
        <v>0</v>
      </c>
      <c r="F32" s="465">
        <f t="shared" si="0"/>
        <v>0</v>
      </c>
    </row>
    <row r="33" spans="1:6" s="38" customFormat="1" ht="12" customHeight="1" thickBot="1" x14ac:dyDescent="0.25">
      <c r="A33" s="74" t="s">
        <v>21</v>
      </c>
      <c r="B33" s="54" t="s">
        <v>309</v>
      </c>
      <c r="C33" s="1302">
        <v>305000</v>
      </c>
      <c r="E33" s="465">
        <f>'22. sz. mell EOI'!C34+'23.sz.mell EOI'!C34</f>
        <v>305000</v>
      </c>
      <c r="F33" s="465">
        <f t="shared" si="0"/>
        <v>0</v>
      </c>
    </row>
    <row r="34" spans="1:6" s="38" customFormat="1" ht="12" customHeight="1" thickBot="1" x14ac:dyDescent="0.25">
      <c r="A34" s="74" t="s">
        <v>22</v>
      </c>
      <c r="B34" s="54" t="s">
        <v>338</v>
      </c>
      <c r="C34" s="534"/>
      <c r="E34" s="465">
        <f>'22. sz. mell EOI'!C35+'23.sz.mell EOI'!C35</f>
        <v>0</v>
      </c>
      <c r="F34" s="465">
        <f t="shared" si="0"/>
        <v>0</v>
      </c>
    </row>
    <row r="35" spans="1:6" s="38" customFormat="1" ht="12" customHeight="1" thickBot="1" x14ac:dyDescent="0.25">
      <c r="A35" s="71" t="s">
        <v>23</v>
      </c>
      <c r="B35" s="54" t="s">
        <v>339</v>
      </c>
      <c r="C35" s="535">
        <f>+C7+C19+C24+C25+C29+C33+C34</f>
        <v>13022238</v>
      </c>
      <c r="E35" s="465">
        <f>'22. sz. mell EOI'!C36+'23.sz.mell EOI'!C36</f>
        <v>13022238</v>
      </c>
      <c r="F35" s="465">
        <f t="shared" si="0"/>
        <v>0</v>
      </c>
    </row>
    <row r="36" spans="1:6" s="38" customFormat="1" ht="12" customHeight="1" thickBot="1" x14ac:dyDescent="0.25">
      <c r="A36" s="85" t="s">
        <v>24</v>
      </c>
      <c r="B36" s="54" t="s">
        <v>340</v>
      </c>
      <c r="C36" s="535">
        <f>+C37+C38+C39</f>
        <v>366823710</v>
      </c>
      <c r="E36" s="465">
        <f>'22. sz. mell EOI'!C37+'23.sz.mell EOI'!C37</f>
        <v>366823710</v>
      </c>
      <c r="F36" s="465">
        <f t="shared" si="0"/>
        <v>0</v>
      </c>
    </row>
    <row r="37" spans="1:6" s="38" customFormat="1" ht="12" customHeight="1" x14ac:dyDescent="0.2">
      <c r="A37" s="208" t="s">
        <v>341</v>
      </c>
      <c r="B37" s="209" t="s">
        <v>166</v>
      </c>
      <c r="C37" s="34">
        <f>127382+140701</f>
        <v>268083</v>
      </c>
      <c r="E37" s="465">
        <f>'22. sz. mell EOI'!C38+'23.sz.mell EOI'!C38</f>
        <v>268083</v>
      </c>
      <c r="F37" s="465">
        <f t="shared" si="0"/>
        <v>0</v>
      </c>
    </row>
    <row r="38" spans="1:6" s="39" customFormat="1" ht="12" customHeight="1" x14ac:dyDescent="0.2">
      <c r="A38" s="208" t="s">
        <v>342</v>
      </c>
      <c r="B38" s="210" t="s">
        <v>6</v>
      </c>
      <c r="C38" s="125"/>
      <c r="E38" s="465">
        <f>'22. sz. mell EOI'!C39+'23.sz.mell EOI'!C39</f>
        <v>0</v>
      </c>
      <c r="F38" s="465">
        <f t="shared" si="0"/>
        <v>0</v>
      </c>
    </row>
    <row r="39" spans="1:6" s="39" customFormat="1" ht="15" customHeight="1" thickBot="1" x14ac:dyDescent="0.25">
      <c r="A39" s="207" t="s">
        <v>343</v>
      </c>
      <c r="B39" s="57" t="s">
        <v>344</v>
      </c>
      <c r="C39" s="887">
        <f>373242379+4485000+14159373-25331125</f>
        <v>366555627</v>
      </c>
      <c r="E39" s="465">
        <f>'22. sz. mell EOI'!C40+'23.sz.mell EOI'!C40</f>
        <v>366555627</v>
      </c>
      <c r="F39" s="465">
        <f t="shared" si="0"/>
        <v>0</v>
      </c>
    </row>
    <row r="40" spans="1:6" s="39" customFormat="1" ht="15" customHeight="1" thickBot="1" x14ac:dyDescent="0.25">
      <c r="A40" s="85" t="s">
        <v>25</v>
      </c>
      <c r="B40" s="86" t="s">
        <v>345</v>
      </c>
      <c r="C40" s="536">
        <f>+C35+C36</f>
        <v>379845948</v>
      </c>
      <c r="E40" s="465">
        <f>'22. sz. mell EOI'!C41+'23.sz.mell EOI'!C41</f>
        <v>379845948</v>
      </c>
      <c r="F40" s="465">
        <f t="shared" si="0"/>
        <v>0</v>
      </c>
    </row>
    <row r="41" spans="1:6" s="213" customFormat="1" ht="12" customHeight="1" thickBot="1" x14ac:dyDescent="0.25">
      <c r="A41" s="91"/>
      <c r="B41" s="92" t="s">
        <v>53</v>
      </c>
      <c r="C41" s="536"/>
      <c r="E41" s="465">
        <f>'22. sz. mell EOI'!C42+'23.sz.mell EOI'!C44</f>
        <v>0</v>
      </c>
      <c r="F41" s="465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24">
        <f>SUM(C43:C47)</f>
        <v>378034835</v>
      </c>
      <c r="E42" s="465">
        <f>'22. sz. mell EOI'!C43+'23.sz.mell EOI'!C45</f>
        <v>378034835</v>
      </c>
      <c r="F42" s="465">
        <f t="shared" si="0"/>
        <v>0</v>
      </c>
    </row>
    <row r="43" spans="1:6" ht="12" customHeight="1" x14ac:dyDescent="0.2">
      <c r="A43" s="207" t="s">
        <v>85</v>
      </c>
      <c r="B43" s="6" t="s">
        <v>46</v>
      </c>
      <c r="C43" s="673">
        <f>267518494+18407-547619-20019694</f>
        <v>246969588</v>
      </c>
      <c r="E43" s="465">
        <f>'22. sz. mell EOI'!C44+'23.sz.mell EOI'!C46</f>
        <v>246969588</v>
      </c>
      <c r="F43" s="465">
        <f t="shared" si="0"/>
        <v>0</v>
      </c>
    </row>
    <row r="44" spans="1:6" ht="12" customHeight="1" x14ac:dyDescent="0.2">
      <c r="A44" s="207" t="s">
        <v>86</v>
      </c>
      <c r="B44" s="5" t="s">
        <v>134</v>
      </c>
      <c r="C44" s="674">
        <f>35464167+4485000-18407-3697183</f>
        <v>36233577</v>
      </c>
      <c r="E44" s="465">
        <f>'22. sz. mell EOI'!C45+'23.sz.mell EOI'!C47</f>
        <v>36233577</v>
      </c>
      <c r="F44" s="465">
        <f t="shared" si="0"/>
        <v>0</v>
      </c>
    </row>
    <row r="45" spans="1:6" ht="12" customHeight="1" x14ac:dyDescent="0.2">
      <c r="A45" s="207" t="s">
        <v>87</v>
      </c>
      <c r="B45" s="5" t="s">
        <v>110</v>
      </c>
      <c r="C45" s="674">
        <f>81300938-95149+14186797+772619-1333535</f>
        <v>94831670</v>
      </c>
      <c r="E45" s="465">
        <f>'22. sz. mell EOI'!C46+'23.sz.mell EOI'!C48</f>
        <v>94831670</v>
      </c>
      <c r="F45" s="465">
        <f t="shared" si="0"/>
        <v>0</v>
      </c>
    </row>
    <row r="46" spans="1:6" ht="12" customHeight="1" x14ac:dyDescent="0.2">
      <c r="A46" s="207" t="s">
        <v>88</v>
      </c>
      <c r="B46" s="5" t="s">
        <v>135</v>
      </c>
      <c r="C46" s="526"/>
      <c r="E46" s="465">
        <f>'22. sz. mell EOI'!C47+'23.sz.mell EOI'!C49</f>
        <v>0</v>
      </c>
      <c r="F46" s="465">
        <f t="shared" si="0"/>
        <v>0</v>
      </c>
    </row>
    <row r="47" spans="1:6" ht="12" customHeight="1" thickBot="1" x14ac:dyDescent="0.25">
      <c r="A47" s="207" t="s">
        <v>111</v>
      </c>
      <c r="B47" s="5" t="s">
        <v>136</v>
      </c>
      <c r="C47" s="526"/>
      <c r="E47" s="465">
        <f>'22. sz. mell EOI'!C48+'23.sz.mell EOI'!C50</f>
        <v>0</v>
      </c>
      <c r="F47" s="465">
        <f t="shared" si="0"/>
        <v>0</v>
      </c>
    </row>
    <row r="48" spans="1:6" s="213" customFormat="1" ht="12" customHeight="1" thickBot="1" x14ac:dyDescent="0.25">
      <c r="A48" s="74" t="s">
        <v>17</v>
      </c>
      <c r="B48" s="54" t="s">
        <v>347</v>
      </c>
      <c r="C48" s="524">
        <f>SUM(C49:C51)</f>
        <v>1811113</v>
      </c>
      <c r="E48" s="465">
        <f>'22. sz. mell EOI'!C49+'23.sz.mell EOI'!C51</f>
        <v>1811113</v>
      </c>
      <c r="F48" s="465">
        <f t="shared" si="0"/>
        <v>0</v>
      </c>
    </row>
    <row r="49" spans="1:6" ht="12" customHeight="1" x14ac:dyDescent="0.2">
      <c r="A49" s="207" t="s">
        <v>91</v>
      </c>
      <c r="B49" s="6" t="s">
        <v>157</v>
      </c>
      <c r="C49" s="673">
        <f>1206500-101574+80000-280713</f>
        <v>904213</v>
      </c>
      <c r="E49" s="465">
        <f>'22. sz. mell EOI'!C50+'23.sz.mell EOI'!C52</f>
        <v>904213</v>
      </c>
      <c r="F49" s="465">
        <f t="shared" si="0"/>
        <v>0</v>
      </c>
    </row>
    <row r="50" spans="1:6" ht="12" customHeight="1" x14ac:dyDescent="0.2">
      <c r="A50" s="207" t="s">
        <v>92</v>
      </c>
      <c r="B50" s="5" t="s">
        <v>138</v>
      </c>
      <c r="C50" s="36">
        <f>596900+235850+74150</f>
        <v>906900</v>
      </c>
      <c r="E50" s="465">
        <f>'22. sz. mell EOI'!C51+'23.sz.mell EOI'!C53</f>
        <v>906900</v>
      </c>
      <c r="F50" s="465">
        <f t="shared" si="0"/>
        <v>0</v>
      </c>
    </row>
    <row r="51" spans="1:6" ht="12" customHeight="1" x14ac:dyDescent="0.2">
      <c r="A51" s="207" t="s">
        <v>93</v>
      </c>
      <c r="B51" s="5" t="s">
        <v>54</v>
      </c>
      <c r="C51" s="526"/>
      <c r="E51" s="465">
        <f>'22. sz. mell EOI'!C52+'23.sz.mell EOI'!C54</f>
        <v>0</v>
      </c>
      <c r="F51" s="465">
        <f t="shared" si="0"/>
        <v>0</v>
      </c>
    </row>
    <row r="52" spans="1:6" ht="15" customHeight="1" thickBot="1" x14ac:dyDescent="0.25">
      <c r="A52" s="207" t="s">
        <v>94</v>
      </c>
      <c r="B52" s="5" t="s">
        <v>465</v>
      </c>
      <c r="C52" s="526"/>
      <c r="E52" s="465">
        <f>'22. sz. mell EOI'!C53+'23.sz.mell EOI'!C55</f>
        <v>0</v>
      </c>
      <c r="F52" s="465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31"/>
      <c r="E53" s="465">
        <f>'22. sz. mell EOI'!C54+'23.sz.mell EOI'!C56</f>
        <v>0</v>
      </c>
      <c r="F53" s="465">
        <f t="shared" si="0"/>
        <v>0</v>
      </c>
    </row>
    <row r="54" spans="1:6" ht="15" customHeight="1" thickBot="1" x14ac:dyDescent="0.25">
      <c r="A54" s="74" t="s">
        <v>19</v>
      </c>
      <c r="B54" s="93" t="s">
        <v>466</v>
      </c>
      <c r="C54" s="539">
        <f>+C42+C48+C53</f>
        <v>379845948</v>
      </c>
      <c r="E54" s="465">
        <f>'22. sz. mell EOI'!C55+'23.sz.mell EOI'!C57</f>
        <v>379845948</v>
      </c>
      <c r="F54" s="465">
        <f t="shared" si="0"/>
        <v>0</v>
      </c>
    </row>
    <row r="55" spans="1:6" ht="13.5" thickBot="1" x14ac:dyDescent="0.25">
      <c r="A55" s="1376" t="s">
        <v>459</v>
      </c>
      <c r="B55" s="1377"/>
      <c r="C55" s="389">
        <f>53</f>
        <v>53</v>
      </c>
      <c r="E55" s="465">
        <f>'22. sz. mell EOI'!C56+'23.sz.mell EOI'!C59</f>
        <v>53</v>
      </c>
      <c r="F55" s="465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60" zoomScaleNormal="16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85" t="str">
        <f>CONCATENATE("17. melléklet"," ",ALAPADATOK!A7," ",ALAPADATOK!B7," ",ALAPADATOK!C7," ",ALAPADATOK!D8," ",ALAPADATOK!E7," ",ALAPADATOK!F7," ",ALAPADATOK!G7," ",ALAPADATOK!H7)</f>
        <v>17. melléklet az 5 / 2023. ( II.24. ) önkormányzati rendelethez</v>
      </c>
      <c r="B1" s="1385"/>
      <c r="C1" s="1385"/>
    </row>
    <row r="2" spans="1:6" s="1" customFormat="1" ht="21" customHeight="1" x14ac:dyDescent="0.2">
      <c r="A2" s="75"/>
      <c r="B2" s="76"/>
      <c r="C2" s="310"/>
    </row>
    <row r="3" spans="1:6" s="37" customFormat="1" ht="33" customHeight="1" thickBot="1" x14ac:dyDescent="0.25">
      <c r="A3" s="1335" t="s">
        <v>902</v>
      </c>
      <c r="B3" s="1335"/>
      <c r="C3" s="1335"/>
      <c r="E3" s="463"/>
      <c r="F3" s="463"/>
    </row>
    <row r="4" spans="1:6" ht="13.5" thickBot="1" x14ac:dyDescent="0.25">
      <c r="A4" s="172" t="s">
        <v>153</v>
      </c>
      <c r="B4" s="79" t="s">
        <v>50</v>
      </c>
      <c r="C4" s="314" t="s">
        <v>895</v>
      </c>
      <c r="E4" s="647"/>
      <c r="F4" s="647"/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4"/>
      <c r="F5" s="464"/>
    </row>
    <row r="6" spans="1:6" s="32" customFormat="1" ht="15.95" customHeight="1" thickBot="1" x14ac:dyDescent="0.25">
      <c r="A6" s="81"/>
      <c r="B6" s="82" t="s">
        <v>52</v>
      </c>
      <c r="C6" s="316"/>
    </row>
    <row r="7" spans="1:6" s="38" customFormat="1" ht="12" customHeight="1" thickBot="1" x14ac:dyDescent="0.25">
      <c r="A7" s="71" t="s">
        <v>16</v>
      </c>
      <c r="B7" s="84" t="s">
        <v>461</v>
      </c>
      <c r="C7" s="524">
        <f>SUM(C8:C18)</f>
        <v>12717238</v>
      </c>
    </row>
    <row r="8" spans="1:6" s="38" customFormat="1" ht="12" customHeight="1" x14ac:dyDescent="0.2">
      <c r="A8" s="206" t="s">
        <v>85</v>
      </c>
      <c r="B8" s="7" t="s">
        <v>207</v>
      </c>
      <c r="C8" s="525"/>
    </row>
    <row r="9" spans="1:6" s="38" customFormat="1" ht="12" customHeight="1" x14ac:dyDescent="0.2">
      <c r="A9" s="207" t="s">
        <v>86</v>
      </c>
      <c r="B9" s="5" t="s">
        <v>208</v>
      </c>
      <c r="C9" s="526">
        <v>600000</v>
      </c>
    </row>
    <row r="10" spans="1:6" s="38" customFormat="1" ht="12" customHeight="1" x14ac:dyDescent="0.2">
      <c r="A10" s="207" t="s">
        <v>87</v>
      </c>
      <c r="B10" s="5" t="s">
        <v>209</v>
      </c>
      <c r="C10" s="526">
        <v>6080000</v>
      </c>
    </row>
    <row r="11" spans="1:6" s="38" customFormat="1" ht="12" customHeight="1" x14ac:dyDescent="0.2">
      <c r="A11" s="207" t="s">
        <v>88</v>
      </c>
      <c r="B11" s="5" t="s">
        <v>210</v>
      </c>
      <c r="C11" s="526"/>
    </row>
    <row r="12" spans="1:6" s="38" customFormat="1" ht="12" customHeight="1" x14ac:dyDescent="0.2">
      <c r="A12" s="207" t="s">
        <v>111</v>
      </c>
      <c r="B12" s="5" t="s">
        <v>211</v>
      </c>
      <c r="C12" s="526">
        <v>3325699</v>
      </c>
    </row>
    <row r="13" spans="1:6" s="38" customFormat="1" ht="12" customHeight="1" x14ac:dyDescent="0.2">
      <c r="A13" s="207" t="s">
        <v>89</v>
      </c>
      <c r="B13" s="5" t="s">
        <v>331</v>
      </c>
      <c r="C13" s="526">
        <v>2701539</v>
      </c>
    </row>
    <row r="14" spans="1:6" s="38" customFormat="1" ht="12" customHeight="1" x14ac:dyDescent="0.2">
      <c r="A14" s="207" t="s">
        <v>90</v>
      </c>
      <c r="B14" s="4" t="s">
        <v>332</v>
      </c>
      <c r="C14" s="526"/>
    </row>
    <row r="15" spans="1:6" s="38" customFormat="1" ht="12" customHeight="1" x14ac:dyDescent="0.2">
      <c r="A15" s="207" t="s">
        <v>100</v>
      </c>
      <c r="B15" s="5" t="s">
        <v>214</v>
      </c>
      <c r="C15" s="527"/>
    </row>
    <row r="16" spans="1:6" s="39" customFormat="1" ht="12" customHeight="1" x14ac:dyDescent="0.2">
      <c r="A16" s="207" t="s">
        <v>101</v>
      </c>
      <c r="B16" s="5" t="s">
        <v>215</v>
      </c>
      <c r="C16" s="526"/>
    </row>
    <row r="17" spans="1:3" s="39" customFormat="1" ht="12" customHeight="1" x14ac:dyDescent="0.2">
      <c r="A17" s="207" t="s">
        <v>102</v>
      </c>
      <c r="B17" s="5" t="s">
        <v>391</v>
      </c>
      <c r="C17" s="528"/>
    </row>
    <row r="18" spans="1:3" s="39" customFormat="1" ht="12" customHeight="1" thickBot="1" x14ac:dyDescent="0.25">
      <c r="A18" s="207" t="s">
        <v>103</v>
      </c>
      <c r="B18" s="4" t="s">
        <v>216</v>
      </c>
      <c r="C18" s="528">
        <v>10000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5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29"/>
    </row>
    <row r="21" spans="1:3" s="39" customFormat="1" ht="12" customHeight="1" x14ac:dyDescent="0.2">
      <c r="A21" s="207" t="s">
        <v>92</v>
      </c>
      <c r="B21" s="5" t="s">
        <v>334</v>
      </c>
      <c r="C21" s="526"/>
    </row>
    <row r="22" spans="1:3" s="39" customFormat="1" ht="12" customHeight="1" x14ac:dyDescent="0.2">
      <c r="A22" s="207" t="s">
        <v>93</v>
      </c>
      <c r="B22" s="5" t="s">
        <v>335</v>
      </c>
      <c r="C22" s="530"/>
    </row>
    <row r="23" spans="1:3" s="39" customFormat="1" ht="12" customHeight="1" thickBot="1" x14ac:dyDescent="0.25">
      <c r="A23" s="207" t="s">
        <v>94</v>
      </c>
      <c r="B23" s="5" t="s">
        <v>462</v>
      </c>
      <c r="C23" s="526"/>
    </row>
    <row r="24" spans="1:3" s="39" customFormat="1" ht="12" customHeight="1" thickBot="1" x14ac:dyDescent="0.25">
      <c r="A24" s="74" t="s">
        <v>18</v>
      </c>
      <c r="B24" s="54" t="s">
        <v>125</v>
      </c>
      <c r="C24" s="531"/>
    </row>
    <row r="25" spans="1:3" s="39" customFormat="1" ht="12" customHeight="1" thickBot="1" x14ac:dyDescent="0.25">
      <c r="A25" s="74" t="s">
        <v>19</v>
      </c>
      <c r="B25" s="54" t="s">
        <v>463</v>
      </c>
      <c r="C25" s="5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2"/>
    </row>
    <row r="27" spans="1:3" s="39" customFormat="1" ht="12" customHeight="1" x14ac:dyDescent="0.2">
      <c r="A27" s="208" t="s">
        <v>198</v>
      </c>
      <c r="B27" s="209" t="s">
        <v>334</v>
      </c>
      <c r="C27" s="529"/>
    </row>
    <row r="28" spans="1:3" s="39" customFormat="1" ht="12" customHeight="1" x14ac:dyDescent="0.2">
      <c r="A28" s="208" t="s">
        <v>199</v>
      </c>
      <c r="B28" s="210" t="s">
        <v>336</v>
      </c>
      <c r="C28" s="529"/>
    </row>
    <row r="29" spans="1:3" s="39" customFormat="1" ht="12" customHeight="1" thickBot="1" x14ac:dyDescent="0.25">
      <c r="A29" s="207" t="s">
        <v>200</v>
      </c>
      <c r="B29" s="57" t="s">
        <v>464</v>
      </c>
      <c r="C29" s="533"/>
    </row>
    <row r="30" spans="1:3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2"/>
    </row>
    <row r="32" spans="1:3" s="39" customFormat="1" ht="12" customHeight="1" x14ac:dyDescent="0.2">
      <c r="A32" s="208" t="s">
        <v>79</v>
      </c>
      <c r="B32" s="210" t="s">
        <v>222</v>
      </c>
      <c r="C32" s="527"/>
    </row>
    <row r="33" spans="1:3" s="38" customFormat="1" ht="12" customHeight="1" thickBot="1" x14ac:dyDescent="0.25">
      <c r="A33" s="207" t="s">
        <v>80</v>
      </c>
      <c r="B33" s="57" t="s">
        <v>223</v>
      </c>
      <c r="C33" s="533"/>
    </row>
    <row r="34" spans="1:3" s="38" customFormat="1" ht="12" customHeight="1" thickBot="1" x14ac:dyDescent="0.25">
      <c r="A34" s="74" t="s">
        <v>21</v>
      </c>
      <c r="B34" s="54" t="s">
        <v>309</v>
      </c>
      <c r="C34" s="1302">
        <v>305000</v>
      </c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13022238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2">
        <f>+C38+C39+C40</f>
        <v>366823710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f>127382+140701</f>
        <v>268083</v>
      </c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887">
        <f>373242379+4485000+14159373-25331125</f>
        <v>366555627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36">
        <f>+C36+C37</f>
        <v>379845948</v>
      </c>
    </row>
    <row r="42" spans="1:3" s="213" customFormat="1" ht="12" customHeight="1" thickBot="1" x14ac:dyDescent="0.25">
      <c r="A42" s="91"/>
      <c r="B42" s="92" t="s">
        <v>53</v>
      </c>
      <c r="C42" s="536"/>
    </row>
    <row r="43" spans="1:3" ht="12" customHeight="1" thickBot="1" x14ac:dyDescent="0.25">
      <c r="A43" s="74" t="s">
        <v>16</v>
      </c>
      <c r="B43" s="54" t="s">
        <v>346</v>
      </c>
      <c r="C43" s="524">
        <f>SUM(C44:C48)</f>
        <v>378034835</v>
      </c>
    </row>
    <row r="44" spans="1:3" ht="12" customHeight="1" x14ac:dyDescent="0.2">
      <c r="A44" s="207" t="s">
        <v>85</v>
      </c>
      <c r="B44" s="6" t="s">
        <v>46</v>
      </c>
      <c r="C44" s="673">
        <f>267518494+18407-547619-20019694</f>
        <v>246969588</v>
      </c>
    </row>
    <row r="45" spans="1:3" ht="12" customHeight="1" x14ac:dyDescent="0.2">
      <c r="A45" s="207" t="s">
        <v>86</v>
      </c>
      <c r="B45" s="5" t="s">
        <v>134</v>
      </c>
      <c r="C45" s="674">
        <f>35464167+4485000-18407-3697183</f>
        <v>36233577</v>
      </c>
    </row>
    <row r="46" spans="1:3" ht="12" customHeight="1" x14ac:dyDescent="0.2">
      <c r="A46" s="207" t="s">
        <v>87</v>
      </c>
      <c r="B46" s="5" t="s">
        <v>110</v>
      </c>
      <c r="C46" s="674">
        <f>81300938-95149+14186797+772619-1333535</f>
        <v>94831670</v>
      </c>
    </row>
    <row r="47" spans="1:3" ht="12" customHeight="1" x14ac:dyDescent="0.2">
      <c r="A47" s="207" t="s">
        <v>88</v>
      </c>
      <c r="B47" s="5" t="s">
        <v>135</v>
      </c>
      <c r="C47" s="526"/>
    </row>
    <row r="48" spans="1:3" ht="12" customHeight="1" thickBot="1" x14ac:dyDescent="0.25">
      <c r="A48" s="207" t="s">
        <v>111</v>
      </c>
      <c r="B48" s="5" t="s">
        <v>136</v>
      </c>
      <c r="C48" s="526"/>
    </row>
    <row r="49" spans="1:3" s="213" customFormat="1" ht="12" customHeight="1" thickBot="1" x14ac:dyDescent="0.25">
      <c r="A49" s="74" t="s">
        <v>17</v>
      </c>
      <c r="B49" s="54" t="s">
        <v>347</v>
      </c>
      <c r="C49" s="524">
        <f>SUM(C50:C52)</f>
        <v>1811113</v>
      </c>
    </row>
    <row r="50" spans="1:3" ht="12" customHeight="1" x14ac:dyDescent="0.2">
      <c r="A50" s="207" t="s">
        <v>91</v>
      </c>
      <c r="B50" s="6" t="s">
        <v>157</v>
      </c>
      <c r="C50" s="673">
        <f>1206500-101574+80000-280713</f>
        <v>904213</v>
      </c>
    </row>
    <row r="51" spans="1:3" ht="12" customHeight="1" x14ac:dyDescent="0.2">
      <c r="A51" s="207" t="s">
        <v>92</v>
      </c>
      <c r="B51" s="5" t="s">
        <v>138</v>
      </c>
      <c r="C51" s="36">
        <f>596900+235850+74150</f>
        <v>906900</v>
      </c>
    </row>
    <row r="52" spans="1:3" ht="12" customHeight="1" x14ac:dyDescent="0.2">
      <c r="A52" s="207" t="s">
        <v>93</v>
      </c>
      <c r="B52" s="5" t="s">
        <v>54</v>
      </c>
      <c r="C52" s="526"/>
    </row>
    <row r="53" spans="1:3" ht="15" customHeight="1" thickBot="1" x14ac:dyDescent="0.25">
      <c r="A53" s="207" t="s">
        <v>94</v>
      </c>
      <c r="B53" s="5" t="s">
        <v>465</v>
      </c>
      <c r="C53" s="526"/>
    </row>
    <row r="54" spans="1:3" ht="13.5" thickBot="1" x14ac:dyDescent="0.25">
      <c r="A54" s="74" t="s">
        <v>18</v>
      </c>
      <c r="B54" s="54" t="s">
        <v>12</v>
      </c>
      <c r="C54" s="531"/>
    </row>
    <row r="55" spans="1:3" ht="15" customHeight="1" thickBot="1" x14ac:dyDescent="0.25">
      <c r="A55" s="74" t="s">
        <v>19</v>
      </c>
      <c r="B55" s="93" t="s">
        <v>466</v>
      </c>
      <c r="C55" s="539">
        <f>+C43+C49+C54</f>
        <v>379845948</v>
      </c>
    </row>
    <row r="56" spans="1:3" ht="13.5" thickBot="1" x14ac:dyDescent="0.25">
      <c r="A56" s="1376" t="s">
        <v>459</v>
      </c>
      <c r="B56" s="1377"/>
      <c r="C56" s="389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workbookViewId="0">
      <selection activeCell="A2" sqref="A2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385" t="str">
        <f>CONCATENATE("23. melléklet"," ",ALAPADATOK!A7," ",ALAPADATOK!B7," ",ALAPADATOK!C7," ",ALAPADATOK!D7," ",ALAPADATOK!E7," ",ALAPADATOK!F7," ",ALAPADATOK!G7," ",ALAPADATOK!H7)</f>
        <v>23. melléklet az 5 / 2022. ( II.24. ) önkormányzati rendelethez</v>
      </c>
      <c r="B1" s="1385"/>
      <c r="C1" s="1385"/>
    </row>
    <row r="2" spans="1:3" ht="15.75" x14ac:dyDescent="0.2">
      <c r="A2" s="75"/>
      <c r="B2" s="76"/>
      <c r="C2" s="211"/>
    </row>
    <row r="3" spans="1:3" ht="16.5" thickBot="1" x14ac:dyDescent="0.25">
      <c r="A3" s="1335" t="s">
        <v>1021</v>
      </c>
      <c r="B3" s="1335"/>
      <c r="C3" s="1335"/>
    </row>
    <row r="4" spans="1:3" ht="13.5" thickBot="1" x14ac:dyDescent="0.25">
      <c r="A4" s="172" t="s">
        <v>153</v>
      </c>
      <c r="B4" s="79" t="s">
        <v>50</v>
      </c>
      <c r="C4" s="80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1"/>
      <c r="B6" s="82" t="s">
        <v>52</v>
      </c>
      <c r="C6" s="83"/>
    </row>
    <row r="7" spans="1:3" ht="13.5" thickBot="1" x14ac:dyDescent="0.25">
      <c r="A7" s="71" t="s">
        <v>16</v>
      </c>
      <c r="B7" s="84" t="s">
        <v>461</v>
      </c>
      <c r="C7" s="124">
        <f>SUM(C8:C18)</f>
        <v>0</v>
      </c>
    </row>
    <row r="8" spans="1:3" x14ac:dyDescent="0.2">
      <c r="A8" s="206" t="s">
        <v>85</v>
      </c>
      <c r="B8" s="7" t="s">
        <v>207</v>
      </c>
      <c r="C8" s="156"/>
    </row>
    <row r="9" spans="1:3" x14ac:dyDescent="0.2">
      <c r="A9" s="207" t="s">
        <v>86</v>
      </c>
      <c r="B9" s="5" t="s">
        <v>208</v>
      </c>
      <c r="C9" s="36"/>
    </row>
    <row r="10" spans="1:3" x14ac:dyDescent="0.2">
      <c r="A10" s="207" t="s">
        <v>87</v>
      </c>
      <c r="B10" s="5" t="s">
        <v>209</v>
      </c>
      <c r="C10" s="36"/>
    </row>
    <row r="11" spans="1:3" x14ac:dyDescent="0.2">
      <c r="A11" s="207" t="s">
        <v>88</v>
      </c>
      <c r="B11" s="5" t="s">
        <v>210</v>
      </c>
      <c r="C11" s="36"/>
    </row>
    <row r="12" spans="1:3" x14ac:dyDescent="0.2">
      <c r="A12" s="207" t="s">
        <v>111</v>
      </c>
      <c r="B12" s="5" t="s">
        <v>211</v>
      </c>
      <c r="C12" s="36"/>
    </row>
    <row r="13" spans="1:3" x14ac:dyDescent="0.2">
      <c r="A13" s="207" t="s">
        <v>89</v>
      </c>
      <c r="B13" s="5" t="s">
        <v>331</v>
      </c>
      <c r="C13" s="36"/>
    </row>
    <row r="14" spans="1:3" x14ac:dyDescent="0.2">
      <c r="A14" s="207" t="s">
        <v>90</v>
      </c>
      <c r="B14" s="4" t="s">
        <v>332</v>
      </c>
      <c r="C14" s="36"/>
    </row>
    <row r="15" spans="1:3" x14ac:dyDescent="0.2">
      <c r="A15" s="207" t="s">
        <v>100</v>
      </c>
      <c r="B15" s="5" t="s">
        <v>214</v>
      </c>
      <c r="C15" s="125"/>
    </row>
    <row r="16" spans="1:3" x14ac:dyDescent="0.2">
      <c r="A16" s="207" t="s">
        <v>101</v>
      </c>
      <c r="B16" s="5" t="s">
        <v>215</v>
      </c>
      <c r="C16" s="36"/>
    </row>
    <row r="17" spans="1:3" x14ac:dyDescent="0.2">
      <c r="A17" s="207" t="s">
        <v>102</v>
      </c>
      <c r="B17" s="5" t="s">
        <v>391</v>
      </c>
      <c r="C17" s="387"/>
    </row>
    <row r="18" spans="1:3" ht="13.5" thickBot="1" x14ac:dyDescent="0.25">
      <c r="A18" s="207" t="s">
        <v>103</v>
      </c>
      <c r="B18" s="4" t="s">
        <v>216</v>
      </c>
      <c r="C18" s="387"/>
    </row>
    <row r="19" spans="1:3" ht="13.5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x14ac:dyDescent="0.2">
      <c r="A20" s="207" t="s">
        <v>91</v>
      </c>
      <c r="B20" s="6" t="s">
        <v>185</v>
      </c>
      <c r="C20" s="122"/>
    </row>
    <row r="21" spans="1:3" x14ac:dyDescent="0.2">
      <c r="A21" s="207" t="s">
        <v>92</v>
      </c>
      <c r="B21" s="5" t="s">
        <v>334</v>
      </c>
      <c r="C21" s="36"/>
    </row>
    <row r="22" spans="1:3" x14ac:dyDescent="0.2">
      <c r="A22" s="207" t="s">
        <v>93</v>
      </c>
      <c r="B22" s="5" t="s">
        <v>335</v>
      </c>
      <c r="C22" s="674"/>
    </row>
    <row r="23" spans="1:3" ht="13.5" thickBot="1" x14ac:dyDescent="0.25">
      <c r="A23" s="207" t="s">
        <v>94</v>
      </c>
      <c r="B23" s="5" t="s">
        <v>462</v>
      </c>
      <c r="C23" s="36"/>
    </row>
    <row r="24" spans="1:3" ht="13.5" thickBot="1" x14ac:dyDescent="0.25">
      <c r="A24" s="74" t="s">
        <v>18</v>
      </c>
      <c r="B24" s="54" t="s">
        <v>125</v>
      </c>
      <c r="C24" s="142"/>
    </row>
    <row r="25" spans="1:3" ht="13.5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x14ac:dyDescent="0.2">
      <c r="A26" s="208" t="s">
        <v>195</v>
      </c>
      <c r="B26" s="209" t="s">
        <v>190</v>
      </c>
      <c r="C26" s="34"/>
    </row>
    <row r="27" spans="1:3" x14ac:dyDescent="0.2">
      <c r="A27" s="208" t="s">
        <v>198</v>
      </c>
      <c r="B27" s="209" t="s">
        <v>334</v>
      </c>
      <c r="C27" s="122"/>
    </row>
    <row r="28" spans="1:3" x14ac:dyDescent="0.2">
      <c r="A28" s="208" t="s">
        <v>199</v>
      </c>
      <c r="B28" s="210" t="s">
        <v>336</v>
      </c>
      <c r="C28" s="122"/>
    </row>
    <row r="29" spans="1:3" ht="13.5" thickBot="1" x14ac:dyDescent="0.25">
      <c r="A29" s="207" t="s">
        <v>200</v>
      </c>
      <c r="B29" s="57" t="s">
        <v>464</v>
      </c>
      <c r="C29" s="671"/>
    </row>
    <row r="30" spans="1:3" ht="13.5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x14ac:dyDescent="0.2">
      <c r="A31" s="208" t="s">
        <v>78</v>
      </c>
      <c r="B31" s="209" t="s">
        <v>221</v>
      </c>
      <c r="C31" s="34"/>
    </row>
    <row r="32" spans="1:3" x14ac:dyDescent="0.2">
      <c r="A32" s="208" t="s">
        <v>79</v>
      </c>
      <c r="B32" s="210" t="s">
        <v>222</v>
      </c>
      <c r="C32" s="125"/>
    </row>
    <row r="33" spans="1:3" ht="13.5" thickBot="1" x14ac:dyDescent="0.25">
      <c r="A33" s="207" t="s">
        <v>80</v>
      </c>
      <c r="B33" s="57" t="s">
        <v>223</v>
      </c>
      <c r="C33" s="671"/>
    </row>
    <row r="34" spans="1:3" ht="13.5" thickBot="1" x14ac:dyDescent="0.25">
      <c r="A34" s="74" t="s">
        <v>21</v>
      </c>
      <c r="B34" s="54" t="s">
        <v>309</v>
      </c>
      <c r="C34" s="142"/>
    </row>
    <row r="35" spans="1:3" ht="13.5" thickBot="1" x14ac:dyDescent="0.25">
      <c r="A35" s="74" t="s">
        <v>22</v>
      </c>
      <c r="B35" s="54" t="s">
        <v>338</v>
      </c>
      <c r="C35" s="158"/>
    </row>
    <row r="36" spans="1:3" ht="13.5" thickBot="1" x14ac:dyDescent="0.25">
      <c r="A36" s="71" t="s">
        <v>23</v>
      </c>
      <c r="B36" s="54" t="s">
        <v>339</v>
      </c>
      <c r="C36" s="672">
        <f>+C7+C19+C24+C25+C30+C34+C35</f>
        <v>0</v>
      </c>
    </row>
    <row r="37" spans="1:3" ht="13.5" thickBot="1" x14ac:dyDescent="0.25">
      <c r="A37" s="85" t="s">
        <v>24</v>
      </c>
      <c r="B37" s="54" t="s">
        <v>340</v>
      </c>
      <c r="C37" s="672">
        <f>+C38+C39+C40</f>
        <v>0</v>
      </c>
    </row>
    <row r="38" spans="1:3" x14ac:dyDescent="0.2">
      <c r="A38" s="208" t="s">
        <v>341</v>
      </c>
      <c r="B38" s="209" t="s">
        <v>166</v>
      </c>
      <c r="C38" s="34"/>
    </row>
    <row r="39" spans="1:3" x14ac:dyDescent="0.2">
      <c r="A39" s="208" t="s">
        <v>342</v>
      </c>
      <c r="B39" s="210" t="s">
        <v>6</v>
      </c>
      <c r="C39" s="125"/>
    </row>
    <row r="40" spans="1:3" ht="13.5" thickBot="1" x14ac:dyDescent="0.25">
      <c r="A40" s="207" t="s">
        <v>343</v>
      </c>
      <c r="B40" s="57" t="s">
        <v>344</v>
      </c>
      <c r="C40" s="671"/>
    </row>
    <row r="41" spans="1:3" ht="13.5" thickBot="1" x14ac:dyDescent="0.25">
      <c r="A41" s="85" t="s">
        <v>25</v>
      </c>
      <c r="B41" s="86" t="s">
        <v>345</v>
      </c>
      <c r="C41" s="161">
        <f>+C36+C37</f>
        <v>0</v>
      </c>
    </row>
    <row r="42" spans="1:3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ht="13.5" thickBot="1" x14ac:dyDescent="0.25">
      <c r="A44" s="91"/>
      <c r="B44" s="92" t="s">
        <v>53</v>
      </c>
      <c r="C44" s="161"/>
    </row>
    <row r="45" spans="1:3" ht="13.5" thickBot="1" x14ac:dyDescent="0.25">
      <c r="A45" s="74" t="s">
        <v>16</v>
      </c>
      <c r="B45" s="54" t="s">
        <v>346</v>
      </c>
      <c r="C45" s="124">
        <f>SUM(C46:C50)</f>
        <v>0</v>
      </c>
    </row>
    <row r="46" spans="1:3" x14ac:dyDescent="0.2">
      <c r="A46" s="207" t="s">
        <v>85</v>
      </c>
      <c r="B46" s="6" t="s">
        <v>46</v>
      </c>
      <c r="C46" s="673"/>
    </row>
    <row r="47" spans="1:3" x14ac:dyDescent="0.2">
      <c r="A47" s="207" t="s">
        <v>86</v>
      </c>
      <c r="B47" s="5" t="s">
        <v>134</v>
      </c>
      <c r="C47" s="674"/>
    </row>
    <row r="48" spans="1:3" x14ac:dyDescent="0.2">
      <c r="A48" s="207" t="s">
        <v>87</v>
      </c>
      <c r="B48" s="5" t="s">
        <v>110</v>
      </c>
      <c r="C48" s="526"/>
    </row>
    <row r="49" spans="1:3" x14ac:dyDescent="0.2">
      <c r="A49" s="207" t="s">
        <v>88</v>
      </c>
      <c r="B49" s="5" t="s">
        <v>135</v>
      </c>
      <c r="C49" s="36"/>
    </row>
    <row r="50" spans="1:3" ht="13.5" thickBot="1" x14ac:dyDescent="0.25">
      <c r="A50" s="207" t="s">
        <v>111</v>
      </c>
      <c r="B50" s="5" t="s">
        <v>136</v>
      </c>
      <c r="C50" s="36"/>
    </row>
    <row r="51" spans="1:3" ht="13.5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x14ac:dyDescent="0.2">
      <c r="A52" s="207" t="s">
        <v>91</v>
      </c>
      <c r="B52" s="6" t="s">
        <v>157</v>
      </c>
      <c r="C52" s="673"/>
    </row>
    <row r="53" spans="1:3" x14ac:dyDescent="0.2">
      <c r="A53" s="207" t="s">
        <v>92</v>
      </c>
      <c r="B53" s="5" t="s">
        <v>138</v>
      </c>
      <c r="C53" s="36"/>
    </row>
    <row r="54" spans="1:3" x14ac:dyDescent="0.2">
      <c r="A54" s="207" t="s">
        <v>93</v>
      </c>
      <c r="B54" s="5" t="s">
        <v>54</v>
      </c>
      <c r="C54" s="36"/>
    </row>
    <row r="55" spans="1:3" ht="13.5" thickBot="1" x14ac:dyDescent="0.25">
      <c r="A55" s="207" t="s">
        <v>94</v>
      </c>
      <c r="B55" s="5" t="s">
        <v>465</v>
      </c>
      <c r="C55" s="36"/>
    </row>
    <row r="56" spans="1:3" ht="13.5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0</v>
      </c>
    </row>
    <row r="58" spans="1:3" ht="13.5" thickBot="1" x14ac:dyDescent="0.25">
      <c r="A58" s="94"/>
      <c r="B58" s="304"/>
      <c r="C58" s="163"/>
    </row>
    <row r="59" spans="1:3" ht="13.5" thickBot="1" x14ac:dyDescent="0.25">
      <c r="A59" s="95" t="s">
        <v>459</v>
      </c>
      <c r="B59" s="96"/>
      <c r="C59" s="389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47" hidden="1" customWidth="1"/>
    <col min="6" max="6" width="12.6640625" style="647" hidden="1" customWidth="1"/>
    <col min="7" max="7" width="9.33203125" style="304" hidden="1" customWidth="1"/>
    <col min="8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16" ht="12.75" customHeight="1" x14ac:dyDescent="0.2">
      <c r="A1" s="1385" t="str">
        <f>CONCATENATE("18. melléklet"," ",ALAPADATOK!A7," ",ALAPADATOK!B7," ",ALAPADATOK!C7," ",ALAPADATOK!D8," ",ALAPADATOK!E7," ",ALAPADATOK!F7," ",ALAPADATOK!G7," ",ALAPADATOK!H7)</f>
        <v>18. melléklet az 5 / 2023. ( II.24. ) önkormányzati rendelethez</v>
      </c>
      <c r="B1" s="1385"/>
      <c r="C1" s="1385"/>
    </row>
    <row r="2" spans="1:16" s="1" customFormat="1" ht="21" customHeight="1" x14ac:dyDescent="0.2">
      <c r="A2" s="75"/>
      <c r="B2" s="76"/>
      <c r="C2" s="310"/>
      <c r="E2" s="647"/>
      <c r="F2" s="647"/>
    </row>
    <row r="3" spans="1:16" s="37" customFormat="1" ht="36" customHeight="1" thickBot="1" x14ac:dyDescent="0.25">
      <c r="A3" s="1335" t="s">
        <v>925</v>
      </c>
      <c r="B3" s="1335"/>
      <c r="C3" s="1335"/>
      <c r="E3" s="463"/>
      <c r="F3" s="463"/>
    </row>
    <row r="4" spans="1:16" ht="13.5" thickBot="1" x14ac:dyDescent="0.25">
      <c r="A4" s="172" t="s">
        <v>153</v>
      </c>
      <c r="B4" s="79" t="s">
        <v>50</v>
      </c>
      <c r="C4" s="314" t="s">
        <v>895</v>
      </c>
    </row>
    <row r="5" spans="1:1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4"/>
      <c r="F5" s="464"/>
    </row>
    <row r="6" spans="1:16" s="32" customFormat="1" ht="15.95" customHeight="1" thickBot="1" x14ac:dyDescent="0.25">
      <c r="A6" s="81"/>
      <c r="B6" s="82" t="s">
        <v>52</v>
      </c>
      <c r="C6" s="316"/>
      <c r="E6" s="464"/>
      <c r="F6" s="464"/>
    </row>
    <row r="7" spans="1:16" s="38" customFormat="1" ht="12" customHeight="1" thickBot="1" x14ac:dyDescent="0.25">
      <c r="A7" s="71" t="s">
        <v>16</v>
      </c>
      <c r="B7" s="84" t="s">
        <v>461</v>
      </c>
      <c r="C7" s="524">
        <f>SUM(C8:C18)</f>
        <v>16781298</v>
      </c>
      <c r="E7" s="465">
        <f>'25. sz. mell EKIK'!C7+'26. sz. mell EKIK'!C7</f>
        <v>16781298</v>
      </c>
      <c r="F7" s="465">
        <f>C7-E7</f>
        <v>0</v>
      </c>
    </row>
    <row r="8" spans="1:16" s="38" customFormat="1" ht="12" customHeight="1" x14ac:dyDescent="0.2">
      <c r="A8" s="206" t="s">
        <v>85</v>
      </c>
      <c r="B8" s="7" t="s">
        <v>207</v>
      </c>
      <c r="C8" s="525"/>
      <c r="E8" s="465">
        <f>'25. sz. mell EKIK'!C8+'26. sz. mell EKIK'!C8</f>
        <v>0</v>
      </c>
      <c r="F8" s="465">
        <f t="shared" ref="F8:F59" si="0">C8-E8</f>
        <v>0</v>
      </c>
      <c r="K8" s="37"/>
      <c r="L8" s="37"/>
      <c r="M8" s="1014"/>
      <c r="N8" s="37"/>
      <c r="O8" s="37"/>
      <c r="P8" s="37"/>
    </row>
    <row r="9" spans="1:16" s="38" customFormat="1" ht="12" customHeight="1" x14ac:dyDescent="0.2">
      <c r="A9" s="207" t="s">
        <v>86</v>
      </c>
      <c r="B9" s="5" t="s">
        <v>208</v>
      </c>
      <c r="C9" s="36">
        <f>11089435+192926</f>
        <v>11282361</v>
      </c>
      <c r="E9" s="465">
        <f>'25. sz. mell EKIK'!C9+'26. sz. mell EKIK'!C9</f>
        <v>11282361</v>
      </c>
      <c r="F9" s="465">
        <f t="shared" si="0"/>
        <v>0</v>
      </c>
      <c r="K9" s="37"/>
      <c r="L9" s="37"/>
      <c r="M9" s="1014"/>
      <c r="N9" s="37"/>
      <c r="O9" s="37"/>
      <c r="P9" s="37"/>
    </row>
    <row r="10" spans="1:16" s="38" customFormat="1" ht="12" customHeight="1" x14ac:dyDescent="0.2">
      <c r="A10" s="207" t="s">
        <v>87</v>
      </c>
      <c r="B10" s="5" t="s">
        <v>209</v>
      </c>
      <c r="C10" s="36">
        <v>40000</v>
      </c>
      <c r="E10" s="465">
        <f>'25. sz. mell EKIK'!C10+'26. sz. mell EKIK'!C10</f>
        <v>40000</v>
      </c>
      <c r="F10" s="465">
        <f t="shared" si="0"/>
        <v>0</v>
      </c>
    </row>
    <row r="11" spans="1:16" s="38" customFormat="1" ht="12" customHeight="1" x14ac:dyDescent="0.2">
      <c r="A11" s="207" t="s">
        <v>88</v>
      </c>
      <c r="B11" s="5" t="s">
        <v>210</v>
      </c>
      <c r="C11" s="526"/>
      <c r="E11" s="465">
        <f>'25. sz. mell EKIK'!C11+'26. sz. mell EKIK'!C11</f>
        <v>0</v>
      </c>
      <c r="F11" s="465">
        <f t="shared" si="0"/>
        <v>0</v>
      </c>
    </row>
    <row r="12" spans="1:16" s="38" customFormat="1" ht="12" customHeight="1" x14ac:dyDescent="0.2">
      <c r="A12" s="207" t="s">
        <v>111</v>
      </c>
      <c r="B12" s="5" t="s">
        <v>211</v>
      </c>
      <c r="C12" s="526"/>
      <c r="E12" s="465">
        <f>'25. sz. mell EKIK'!C12+'26. sz. mell EKIK'!C12</f>
        <v>0</v>
      </c>
      <c r="F12" s="465">
        <f t="shared" si="0"/>
        <v>0</v>
      </c>
    </row>
    <row r="13" spans="1:16" s="38" customFormat="1" ht="12" customHeight="1" x14ac:dyDescent="0.2">
      <c r="A13" s="207" t="s">
        <v>89</v>
      </c>
      <c r="B13" s="5" t="s">
        <v>331</v>
      </c>
      <c r="C13" s="36">
        <f>2194949+52090</f>
        <v>2247039</v>
      </c>
      <c r="E13" s="465">
        <f>'25. sz. mell EKIK'!C13+'26. sz. mell EKIK'!C13</f>
        <v>2247039</v>
      </c>
      <c r="F13" s="465">
        <f t="shared" si="0"/>
        <v>0</v>
      </c>
    </row>
    <row r="14" spans="1:16" s="38" customFormat="1" ht="12" customHeight="1" x14ac:dyDescent="0.2">
      <c r="A14" s="207" t="s">
        <v>90</v>
      </c>
      <c r="B14" s="4" t="s">
        <v>332</v>
      </c>
      <c r="C14" s="526"/>
      <c r="E14" s="465">
        <f>'25. sz. mell EKIK'!C14+'26. sz. mell EKIK'!C14</f>
        <v>0</v>
      </c>
      <c r="F14" s="465">
        <f t="shared" si="0"/>
        <v>0</v>
      </c>
    </row>
    <row r="15" spans="1:16" s="38" customFormat="1" ht="12" customHeight="1" x14ac:dyDescent="0.2">
      <c r="A15" s="207" t="s">
        <v>100</v>
      </c>
      <c r="B15" s="5" t="s">
        <v>214</v>
      </c>
      <c r="C15" s="527"/>
      <c r="E15" s="465">
        <f>'25. sz. mell EKIK'!C15+'26. sz. mell EKIK'!C15</f>
        <v>0</v>
      </c>
      <c r="F15" s="465">
        <f t="shared" si="0"/>
        <v>0</v>
      </c>
    </row>
    <row r="16" spans="1:16" s="39" customFormat="1" ht="12" customHeight="1" x14ac:dyDescent="0.2">
      <c r="A16" s="207" t="s">
        <v>101</v>
      </c>
      <c r="B16" s="5" t="s">
        <v>215</v>
      </c>
      <c r="C16" s="526"/>
      <c r="E16" s="465">
        <f>'25. sz. mell EKIK'!C16+'26. sz. mell EKIK'!C16</f>
        <v>0</v>
      </c>
      <c r="F16" s="465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28"/>
      <c r="E17" s="465">
        <f>'25. sz. mell EKIK'!C17+'26. sz. mell EKIK'!C17</f>
        <v>0</v>
      </c>
      <c r="F17" s="465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387">
        <f>3211898</f>
        <v>3211898</v>
      </c>
      <c r="E18" s="465">
        <f>'25. sz. mell EKIK'!C18+'26. sz. mell EKIK'!C18</f>
        <v>3211898</v>
      </c>
      <c r="F18" s="465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4">
        <f>SUM(C20:C22)</f>
        <v>17849127</v>
      </c>
      <c r="E19" s="465">
        <f>'25. sz. mell EKIK'!C19+'26. sz. mell EKIK'!C19</f>
        <v>17849127</v>
      </c>
      <c r="F19" s="465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29"/>
      <c r="E20" s="465">
        <f>'25. sz. mell EKIK'!C20+'26. sz. mell EKIK'!C20</f>
        <v>0</v>
      </c>
      <c r="F20" s="465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26"/>
      <c r="E21" s="465">
        <f>'25. sz. mell EKIK'!C21+'26. sz. mell EKIK'!C21</f>
        <v>0</v>
      </c>
      <c r="F21" s="465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36">
        <f>273480+13275647+800000+3500000</f>
        <v>17849127</v>
      </c>
      <c r="E22" s="465">
        <f>'25. sz. mell EKIK'!C22+'26. sz. mell EKIK'!C22</f>
        <v>17849127</v>
      </c>
      <c r="F22" s="465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26">
        <v>0</v>
      </c>
      <c r="E23" s="465">
        <f>'25. sz. mell EKIK'!C23+'26. sz. mell EKIK'!C23</f>
        <v>0</v>
      </c>
      <c r="F23" s="465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1"/>
      <c r="E24" s="465">
        <f>'25. sz. mell EKIK'!C24+'26. sz. mell EKIK'!C24</f>
        <v>0</v>
      </c>
      <c r="F24" s="465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4">
        <f>+C26+C27+C28</f>
        <v>106305</v>
      </c>
      <c r="E25" s="465">
        <f>'25. sz. mell EKIK'!C25+'26. sz. mell EKIK'!C25</f>
        <v>106305</v>
      </c>
      <c r="F25" s="465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2"/>
      <c r="E26" s="465">
        <f>'25. sz. mell EKIK'!C26+'26. sz. mell EKIK'!C26</f>
        <v>0</v>
      </c>
      <c r="F26" s="465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26"/>
      <c r="E27" s="465">
        <f>'25. sz. mell EKIK'!C27+'26. sz. mell EKIK'!C27</f>
        <v>0</v>
      </c>
      <c r="F27" s="465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36">
        <v>106305</v>
      </c>
      <c r="E28" s="465">
        <f>'25. sz. mell EKIK'!C28+'26. sz. mell EKIK'!C28</f>
        <v>106305</v>
      </c>
      <c r="F28" s="465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3"/>
      <c r="E29" s="465">
        <f>'25. sz. mell EKIK'!C29+'26. sz. mell EKIK'!C29</f>
        <v>0</v>
      </c>
      <c r="F29" s="465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  <c r="E30" s="465">
        <f>'25. sz. mell EKIK'!C30+'26. sz. mell EKIK'!C30</f>
        <v>0</v>
      </c>
      <c r="F30" s="465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2"/>
      <c r="E31" s="465">
        <f>'25. sz. mell EKIK'!C31+'26. sz. mell EKIK'!C31</f>
        <v>0</v>
      </c>
      <c r="F31" s="465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27"/>
      <c r="E32" s="465">
        <f>'25. sz. mell EKIK'!C32+'26. sz. mell EKIK'!C32</f>
        <v>0</v>
      </c>
      <c r="F32" s="465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3"/>
      <c r="E33" s="465">
        <f>'25. sz. mell EKIK'!C33+'26. sz. mell EKIK'!C33</f>
        <v>0</v>
      </c>
      <c r="F33" s="465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531"/>
      <c r="E34" s="465">
        <f>'25. sz. mell EKIK'!C34+'26. sz. mell EKIK'!C34</f>
        <v>0</v>
      </c>
      <c r="F34" s="465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534"/>
      <c r="E35" s="465">
        <f>'25. sz. mell EKIK'!C35+'26. sz. mell EKIK'!C35</f>
        <v>0</v>
      </c>
      <c r="F35" s="465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34736730</v>
      </c>
      <c r="E36" s="465">
        <f>'25. sz. mell EKIK'!C36+'26. sz. mell EKIK'!C36</f>
        <v>34736730</v>
      </c>
      <c r="F36" s="465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535">
        <f>+C38+C39+C40</f>
        <v>125168425</v>
      </c>
      <c r="E37" s="465">
        <f>'25. sz. mell EKIK'!C37+'26. sz. mell EKIK'!C37</f>
        <v>125168425</v>
      </c>
      <c r="F37" s="465">
        <f t="shared" si="0"/>
        <v>0</v>
      </c>
    </row>
    <row r="38" spans="1:6" s="38" customFormat="1" ht="12" customHeight="1" x14ac:dyDescent="0.2">
      <c r="A38" s="208" t="s">
        <v>341</v>
      </c>
      <c r="B38" s="209" t="s">
        <v>166</v>
      </c>
      <c r="C38" s="532">
        <v>1498662</v>
      </c>
      <c r="E38" s="465">
        <f>'25. sz. mell EKIK'!C38+'26. sz. mell EKIK'!C38</f>
        <v>1498662</v>
      </c>
      <c r="F38" s="465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27"/>
      <c r="E39" s="465">
        <f>'25. sz. mell EKIK'!C39+'26. sz. mell EKIK'!C39</f>
        <v>0</v>
      </c>
      <c r="F39" s="465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887">
        <f>138201885-13190647+1567338+27311-2936124</f>
        <v>123669763</v>
      </c>
      <c r="E40" s="465">
        <f>'25. sz. mell EKIK'!C40+'26. sz. mell EKIK'!C40</f>
        <v>123669763</v>
      </c>
      <c r="F40" s="465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36">
        <f>+C36+C37</f>
        <v>159905155</v>
      </c>
      <c r="E41" s="465">
        <f>'25. sz. mell EKIK'!C41+'26. sz. mell EKIK'!C41</f>
        <v>159905155</v>
      </c>
      <c r="F41" s="465">
        <f t="shared" si="0"/>
        <v>0</v>
      </c>
    </row>
    <row r="42" spans="1:6" x14ac:dyDescent="0.2">
      <c r="A42" s="87"/>
      <c r="B42" s="88"/>
      <c r="C42" s="537"/>
      <c r="E42" s="465">
        <f>'25. sz. mell EKIK'!C42+'26. sz. mell EKIK'!C42</f>
        <v>0</v>
      </c>
      <c r="F42" s="465">
        <f t="shared" si="0"/>
        <v>0</v>
      </c>
    </row>
    <row r="43" spans="1:6" s="32" customFormat="1" ht="16.5" customHeight="1" thickBot="1" x14ac:dyDescent="0.25">
      <c r="A43" s="89"/>
      <c r="B43" s="90"/>
      <c r="C43" s="538"/>
      <c r="E43" s="465">
        <f>'25. sz. mell EKIK'!C43+'26. sz. mell EKIK'!C43</f>
        <v>0</v>
      </c>
      <c r="F43" s="465">
        <f t="shared" si="0"/>
        <v>0</v>
      </c>
    </row>
    <row r="44" spans="1:6" s="213" customFormat="1" ht="12" customHeight="1" thickBot="1" x14ac:dyDescent="0.25">
      <c r="A44" s="1380" t="s">
        <v>53</v>
      </c>
      <c r="B44" s="1381"/>
      <c r="C44" s="1382"/>
      <c r="E44" s="465">
        <f>'25. sz. mell EKIK'!C44+'26. sz. mell EKIK'!C44</f>
        <v>0</v>
      </c>
      <c r="F44" s="465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24">
        <f>SUM(C46:C50)</f>
        <v>150792472</v>
      </c>
      <c r="E45" s="465">
        <f>'25. sz. mell EKIK'!C45+'26. sz. mell EKIK'!C45</f>
        <v>150792472</v>
      </c>
      <c r="F45" s="465">
        <f t="shared" si="0"/>
        <v>0</v>
      </c>
    </row>
    <row r="46" spans="1:6" ht="12" customHeight="1" x14ac:dyDescent="0.2">
      <c r="A46" s="207" t="s">
        <v>85</v>
      </c>
      <c r="B46" s="6" t="s">
        <v>46</v>
      </c>
      <c r="C46" s="34">
        <f>75852403-123808+95366</f>
        <v>75823961</v>
      </c>
      <c r="E46" s="465">
        <f>'25. sz. mell EKIK'!C46+'26. sz. mell EKIK'!C46</f>
        <v>75823961</v>
      </c>
      <c r="F46" s="465">
        <f t="shared" si="0"/>
        <v>0</v>
      </c>
    </row>
    <row r="47" spans="1:6" ht="12" customHeight="1" x14ac:dyDescent="0.2">
      <c r="A47" s="207" t="s">
        <v>86</v>
      </c>
      <c r="B47" s="5" t="s">
        <v>134</v>
      </c>
      <c r="C47" s="36">
        <f>10425298+56308+89095</f>
        <v>10570701</v>
      </c>
      <c r="E47" s="465">
        <f>'25. sz. mell EKIK'!C47+'26. sz. mell EKIK'!C47</f>
        <v>10570701</v>
      </c>
      <c r="F47" s="465">
        <f t="shared" si="0"/>
        <v>0</v>
      </c>
    </row>
    <row r="48" spans="1:6" ht="12" customHeight="1" x14ac:dyDescent="0.2">
      <c r="A48" s="207" t="s">
        <v>87</v>
      </c>
      <c r="B48" s="5" t="s">
        <v>110</v>
      </c>
      <c r="C48" s="674">
        <f>62889818+85000+800000+271616+67500+3500000-280712-2936124</f>
        <v>64397098</v>
      </c>
      <c r="E48" s="465">
        <f>'25. sz. mell EKIK'!C48+'26. sz. mell EKIK'!C48</f>
        <v>64397098</v>
      </c>
      <c r="F48" s="465">
        <f t="shared" si="0"/>
        <v>0</v>
      </c>
    </row>
    <row r="49" spans="1:6" ht="12" customHeight="1" x14ac:dyDescent="0.2">
      <c r="A49" s="207" t="s">
        <v>88</v>
      </c>
      <c r="B49" s="5" t="s">
        <v>135</v>
      </c>
      <c r="C49" s="36"/>
      <c r="E49" s="465">
        <f>'25. sz. mell EKIK'!C49+'26. sz. mell EKIK'!C49</f>
        <v>0</v>
      </c>
      <c r="F49" s="465">
        <f t="shared" si="0"/>
        <v>0</v>
      </c>
    </row>
    <row r="50" spans="1:6" ht="12" customHeight="1" thickBot="1" x14ac:dyDescent="0.25">
      <c r="A50" s="207" t="s">
        <v>111</v>
      </c>
      <c r="B50" s="5" t="s">
        <v>136</v>
      </c>
      <c r="C50" s="36">
        <f>711+1</f>
        <v>712</v>
      </c>
      <c r="E50" s="465">
        <f>'25. sz. mell EKIK'!C50+'26. sz. mell EKIK'!C50</f>
        <v>712</v>
      </c>
      <c r="F50" s="465">
        <f t="shared" si="0"/>
        <v>0</v>
      </c>
    </row>
    <row r="51" spans="1:6" s="213" customFormat="1" ht="12" customHeight="1" thickBot="1" x14ac:dyDescent="0.25">
      <c r="A51" s="74" t="s">
        <v>17</v>
      </c>
      <c r="B51" s="54" t="s">
        <v>347</v>
      </c>
      <c r="C51" s="524">
        <f>SUM(C52:C54)</f>
        <v>9112683</v>
      </c>
      <c r="E51" s="465">
        <f>'25. sz. mell EKIK'!C51+'26. sz. mell EKIK'!C51</f>
        <v>9112683</v>
      </c>
      <c r="F51" s="465">
        <f t="shared" si="0"/>
        <v>0</v>
      </c>
    </row>
    <row r="52" spans="1:6" ht="12" customHeight="1" x14ac:dyDescent="0.2">
      <c r="A52" s="207" t="s">
        <v>91</v>
      </c>
      <c r="B52" s="6" t="s">
        <v>157</v>
      </c>
      <c r="C52" s="34">
        <f>6858790+1567338+202555</f>
        <v>8628683</v>
      </c>
      <c r="E52" s="465">
        <f>'25. sz. mell EKIK'!C52+'26. sz. mell EKIK'!C52</f>
        <v>8628683</v>
      </c>
      <c r="F52" s="465">
        <f t="shared" si="0"/>
        <v>0</v>
      </c>
    </row>
    <row r="53" spans="1:6" ht="12" customHeight="1" x14ac:dyDescent="0.2">
      <c r="A53" s="207" t="s">
        <v>92</v>
      </c>
      <c r="B53" s="5" t="s">
        <v>138</v>
      </c>
      <c r="C53" s="674"/>
      <c r="E53" s="465">
        <f>'25. sz. mell EKIK'!C53+'26. sz. mell EKIK'!C53</f>
        <v>0</v>
      </c>
      <c r="F53" s="465">
        <f t="shared" si="0"/>
        <v>0</v>
      </c>
    </row>
    <row r="54" spans="1:6" ht="12" customHeight="1" x14ac:dyDescent="0.2">
      <c r="A54" s="207" t="s">
        <v>93</v>
      </c>
      <c r="B54" s="5" t="s">
        <v>54</v>
      </c>
      <c r="C54" s="526">
        <v>484000</v>
      </c>
      <c r="E54" s="465">
        <f>'25. sz. mell EKIK'!C54+'26. sz. mell EKIK'!C54</f>
        <v>484000</v>
      </c>
      <c r="F54" s="465">
        <f t="shared" si="0"/>
        <v>0</v>
      </c>
    </row>
    <row r="55" spans="1:6" ht="15" customHeight="1" thickBot="1" x14ac:dyDescent="0.25">
      <c r="A55" s="207" t="s">
        <v>94</v>
      </c>
      <c r="B55" s="5" t="s">
        <v>465</v>
      </c>
      <c r="C55" s="526">
        <v>484000</v>
      </c>
      <c r="E55" s="465">
        <f>'25. sz. mell EKIK'!C55+'26. sz. mell EKIK'!C55</f>
        <v>484000</v>
      </c>
      <c r="F55" s="465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31"/>
      <c r="E56" s="465">
        <f>'25. sz. mell EKIK'!C56+'26. sz. mell EKIK'!C56</f>
        <v>0</v>
      </c>
      <c r="F56" s="465">
        <f t="shared" si="0"/>
        <v>0</v>
      </c>
    </row>
    <row r="57" spans="1:6" ht="15" customHeight="1" thickBot="1" x14ac:dyDescent="0.25">
      <c r="A57" s="74" t="s">
        <v>19</v>
      </c>
      <c r="B57" s="93" t="s">
        <v>466</v>
      </c>
      <c r="C57" s="539">
        <f>+C45+C51+C56</f>
        <v>159905155</v>
      </c>
      <c r="E57" s="465">
        <f>'25. sz. mell EKIK'!C57+'26. sz. mell EKIK'!C57</f>
        <v>159905155</v>
      </c>
      <c r="F57" s="465">
        <f t="shared" si="0"/>
        <v>0</v>
      </c>
    </row>
    <row r="58" spans="1:6" ht="14.25" customHeight="1" thickBot="1" x14ac:dyDescent="0.25">
      <c r="C58" s="540"/>
      <c r="E58" s="465">
        <f>'25. sz. mell EKIK'!C58+'26. sz. mell EKIK'!C58</f>
        <v>0</v>
      </c>
      <c r="F58" s="465">
        <f t="shared" si="0"/>
        <v>0</v>
      </c>
    </row>
    <row r="59" spans="1:6" x14ac:dyDescent="0.2">
      <c r="A59" s="1388" t="s">
        <v>459</v>
      </c>
      <c r="B59" s="1389"/>
      <c r="C59" s="909">
        <f>19.75</f>
        <v>19.75</v>
      </c>
      <c r="E59" s="465">
        <f>'25. sz. mell EKIK'!C59+'26. sz. mell EKIK'!C59</f>
        <v>19.75</v>
      </c>
      <c r="F59" s="465">
        <f t="shared" si="0"/>
        <v>0</v>
      </c>
    </row>
    <row r="60" spans="1:6" ht="13.5" thickBot="1" x14ac:dyDescent="0.25">
      <c r="A60" s="1386" t="s">
        <v>854</v>
      </c>
      <c r="B60" s="1387"/>
      <c r="C60" s="58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85" t="str">
        <f>CONCATENATE("19. melléklet"," ",ALAPADATOK!A7," ",ALAPADATOK!B7," ",ALAPADATOK!C7," ",ALAPADATOK!D8," ",ALAPADATOK!E7," ",ALAPADATOK!F7," ",ALAPADATOK!G7," ",ALAPADATOK!H7)</f>
        <v>19. melléklet az 5 / 2023. ( II.24. ) önkormányzati rendelethez</v>
      </c>
      <c r="B1" s="1385"/>
      <c r="C1" s="1385"/>
    </row>
    <row r="2" spans="1:3" s="1" customFormat="1" ht="21" customHeight="1" x14ac:dyDescent="0.2">
      <c r="A2" s="75"/>
      <c r="B2" s="76"/>
      <c r="C2" s="310"/>
    </row>
    <row r="3" spans="1:3" s="37" customFormat="1" ht="33" customHeight="1" thickBot="1" x14ac:dyDescent="0.25">
      <c r="A3" s="1335" t="s">
        <v>926</v>
      </c>
      <c r="B3" s="1335"/>
      <c r="C3" s="1335"/>
    </row>
    <row r="4" spans="1:3" ht="13.5" thickBot="1" x14ac:dyDescent="0.25">
      <c r="A4" s="172" t="s">
        <v>153</v>
      </c>
      <c r="B4" s="79" t="s">
        <v>50</v>
      </c>
      <c r="C4" s="314" t="s">
        <v>895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4">
        <f>SUM(C8:C18)</f>
        <v>12169400</v>
      </c>
    </row>
    <row r="8" spans="1:3" s="38" customFormat="1" ht="12" customHeight="1" x14ac:dyDescent="0.2">
      <c r="A8" s="206" t="s">
        <v>85</v>
      </c>
      <c r="B8" s="7" t="s">
        <v>207</v>
      </c>
      <c r="C8" s="525"/>
    </row>
    <row r="9" spans="1:3" s="38" customFormat="1" ht="12" customHeight="1" x14ac:dyDescent="0.2">
      <c r="A9" s="207" t="s">
        <v>86</v>
      </c>
      <c r="B9" s="5" t="s">
        <v>208</v>
      </c>
      <c r="C9" s="526">
        <v>10180000</v>
      </c>
    </row>
    <row r="10" spans="1:3" s="38" customFormat="1" ht="12" customHeight="1" x14ac:dyDescent="0.2">
      <c r="A10" s="207" t="s">
        <v>87</v>
      </c>
      <c r="B10" s="5" t="s">
        <v>209</v>
      </c>
      <c r="C10" s="36">
        <v>40000</v>
      </c>
    </row>
    <row r="11" spans="1:3" s="38" customFormat="1" ht="12" customHeight="1" x14ac:dyDescent="0.2">
      <c r="A11" s="207" t="s">
        <v>88</v>
      </c>
      <c r="B11" s="5" t="s">
        <v>210</v>
      </c>
      <c r="C11" s="526"/>
    </row>
    <row r="12" spans="1:3" s="38" customFormat="1" ht="12" customHeight="1" x14ac:dyDescent="0.2">
      <c r="A12" s="207" t="s">
        <v>111</v>
      </c>
      <c r="B12" s="5" t="s">
        <v>211</v>
      </c>
      <c r="C12" s="526"/>
    </row>
    <row r="13" spans="1:3" s="38" customFormat="1" ht="12" customHeight="1" x14ac:dyDescent="0.2">
      <c r="A13" s="207" t="s">
        <v>89</v>
      </c>
      <c r="B13" s="5" t="s">
        <v>331</v>
      </c>
      <c r="C13" s="526">
        <v>1949400</v>
      </c>
    </row>
    <row r="14" spans="1:3" s="38" customFormat="1" ht="12" customHeight="1" x14ac:dyDescent="0.2">
      <c r="A14" s="207" t="s">
        <v>90</v>
      </c>
      <c r="B14" s="4" t="s">
        <v>332</v>
      </c>
      <c r="C14" s="526"/>
    </row>
    <row r="15" spans="1:3" s="38" customFormat="1" ht="12" customHeight="1" x14ac:dyDescent="0.2">
      <c r="A15" s="207" t="s">
        <v>100</v>
      </c>
      <c r="B15" s="5" t="s">
        <v>214</v>
      </c>
      <c r="C15" s="527"/>
    </row>
    <row r="16" spans="1:3" s="39" customFormat="1" ht="12" customHeight="1" x14ac:dyDescent="0.2">
      <c r="A16" s="207" t="s">
        <v>101</v>
      </c>
      <c r="B16" s="5" t="s">
        <v>215</v>
      </c>
      <c r="C16" s="526"/>
    </row>
    <row r="17" spans="1:3" s="39" customFormat="1" ht="12" customHeight="1" x14ac:dyDescent="0.2">
      <c r="A17" s="207" t="s">
        <v>102</v>
      </c>
      <c r="B17" s="5" t="s">
        <v>391</v>
      </c>
      <c r="C17" s="528"/>
    </row>
    <row r="18" spans="1:3" s="39" customFormat="1" ht="12" customHeight="1" thickBot="1" x14ac:dyDescent="0.25">
      <c r="A18" s="207" t="s">
        <v>103</v>
      </c>
      <c r="B18" s="4" t="s">
        <v>216</v>
      </c>
      <c r="C18" s="528"/>
    </row>
    <row r="19" spans="1:3" s="38" customFormat="1" ht="12" customHeight="1" thickBot="1" x14ac:dyDescent="0.25">
      <c r="A19" s="71" t="s">
        <v>17</v>
      </c>
      <c r="B19" s="84" t="s">
        <v>333</v>
      </c>
      <c r="C19" s="524">
        <f>SUM(C20:C22)</f>
        <v>17849127</v>
      </c>
    </row>
    <row r="20" spans="1:3" s="39" customFormat="1" ht="12" customHeight="1" x14ac:dyDescent="0.2">
      <c r="A20" s="207" t="s">
        <v>91</v>
      </c>
      <c r="B20" s="6" t="s">
        <v>185</v>
      </c>
      <c r="C20" s="529"/>
    </row>
    <row r="21" spans="1:3" s="39" customFormat="1" ht="12" customHeight="1" x14ac:dyDescent="0.2">
      <c r="A21" s="207" t="s">
        <v>92</v>
      </c>
      <c r="B21" s="5" t="s">
        <v>334</v>
      </c>
      <c r="C21" s="526"/>
    </row>
    <row r="22" spans="1:3" s="39" customFormat="1" ht="12" customHeight="1" x14ac:dyDescent="0.2">
      <c r="A22" s="207" t="s">
        <v>93</v>
      </c>
      <c r="B22" s="5" t="s">
        <v>335</v>
      </c>
      <c r="C22" s="36">
        <f>273480+13275647+800000+3500000</f>
        <v>17849127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526"/>
    </row>
    <row r="24" spans="1:3" s="39" customFormat="1" ht="12" customHeight="1" thickBot="1" x14ac:dyDescent="0.25">
      <c r="A24" s="74" t="s">
        <v>18</v>
      </c>
      <c r="B24" s="54" t="s">
        <v>125</v>
      </c>
      <c r="C24" s="531"/>
    </row>
    <row r="25" spans="1:3" s="39" customFormat="1" ht="12" customHeight="1" thickBot="1" x14ac:dyDescent="0.25">
      <c r="A25" s="74" t="s">
        <v>19</v>
      </c>
      <c r="B25" s="54" t="s">
        <v>463</v>
      </c>
      <c r="C25" s="524">
        <f>+C26+C27+C28</f>
        <v>106305</v>
      </c>
    </row>
    <row r="26" spans="1:3" s="39" customFormat="1" ht="12" customHeight="1" x14ac:dyDescent="0.2">
      <c r="A26" s="208" t="s">
        <v>195</v>
      </c>
      <c r="B26" s="209" t="s">
        <v>190</v>
      </c>
      <c r="C26" s="532"/>
    </row>
    <row r="27" spans="1:3" s="39" customFormat="1" ht="12" customHeight="1" x14ac:dyDescent="0.2">
      <c r="A27" s="208" t="s">
        <v>198</v>
      </c>
      <c r="B27" s="209" t="s">
        <v>334</v>
      </c>
      <c r="C27" s="529"/>
    </row>
    <row r="28" spans="1:3" s="39" customFormat="1" ht="12" customHeight="1" x14ac:dyDescent="0.2">
      <c r="A28" s="208" t="s">
        <v>199</v>
      </c>
      <c r="B28" s="210" t="s">
        <v>336</v>
      </c>
      <c r="C28" s="36">
        <v>106305</v>
      </c>
    </row>
    <row r="29" spans="1:3" s="39" customFormat="1" ht="12" customHeight="1" thickBot="1" x14ac:dyDescent="0.25">
      <c r="A29" s="207" t="s">
        <v>200</v>
      </c>
      <c r="B29" s="57" t="s">
        <v>464</v>
      </c>
      <c r="C29" s="533"/>
    </row>
    <row r="30" spans="1:3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2"/>
    </row>
    <row r="32" spans="1:3" s="39" customFormat="1" ht="12" customHeight="1" x14ac:dyDescent="0.2">
      <c r="A32" s="208" t="s">
        <v>79</v>
      </c>
      <c r="B32" s="210" t="s">
        <v>222</v>
      </c>
      <c r="C32" s="527"/>
    </row>
    <row r="33" spans="1:3" s="38" customFormat="1" ht="12" customHeight="1" thickBot="1" x14ac:dyDescent="0.25">
      <c r="A33" s="207" t="s">
        <v>80</v>
      </c>
      <c r="B33" s="57" t="s">
        <v>223</v>
      </c>
      <c r="C33" s="533"/>
    </row>
    <row r="34" spans="1:3" s="38" customFormat="1" ht="12" customHeight="1" thickBot="1" x14ac:dyDescent="0.25">
      <c r="A34" s="74" t="s">
        <v>21</v>
      </c>
      <c r="B34" s="54" t="s">
        <v>309</v>
      </c>
      <c r="C34" s="531"/>
    </row>
    <row r="35" spans="1:3" s="38" customFormat="1" ht="12" customHeight="1" thickBot="1" x14ac:dyDescent="0.25">
      <c r="A35" s="74" t="s">
        <v>22</v>
      </c>
      <c r="B35" s="54" t="s">
        <v>338</v>
      </c>
      <c r="C35" s="534"/>
    </row>
    <row r="36" spans="1:3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30124832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35">
        <f>+C38+C39+C40</f>
        <v>125083425</v>
      </c>
    </row>
    <row r="38" spans="1:3" s="38" customFormat="1" ht="12" customHeight="1" x14ac:dyDescent="0.2">
      <c r="A38" s="208" t="s">
        <v>341</v>
      </c>
      <c r="B38" s="209" t="s">
        <v>166</v>
      </c>
      <c r="C38" s="532">
        <v>1498662</v>
      </c>
    </row>
    <row r="39" spans="1:3" s="39" customFormat="1" ht="12" customHeight="1" x14ac:dyDescent="0.2">
      <c r="A39" s="208" t="s">
        <v>342</v>
      </c>
      <c r="B39" s="210" t="s">
        <v>6</v>
      </c>
      <c r="C39" s="527"/>
    </row>
    <row r="40" spans="1:3" s="39" customFormat="1" ht="15" customHeight="1" thickBot="1" x14ac:dyDescent="0.25">
      <c r="A40" s="207" t="s">
        <v>343</v>
      </c>
      <c r="B40" s="57" t="s">
        <v>344</v>
      </c>
      <c r="C40" s="887">
        <f>140663703-2461818-13275647+85000+1567338+20000-2936124+7311-85000</f>
        <v>123584763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36">
        <f>+C36+C37</f>
        <v>155208257</v>
      </c>
    </row>
    <row r="42" spans="1:3" x14ac:dyDescent="0.2">
      <c r="A42" s="87"/>
      <c r="B42" s="88"/>
      <c r="C42" s="537"/>
    </row>
    <row r="43" spans="1:3" s="32" customFormat="1" ht="16.5" customHeight="1" thickBot="1" x14ac:dyDescent="0.25">
      <c r="A43" s="89"/>
      <c r="B43" s="90"/>
      <c r="C43" s="538"/>
    </row>
    <row r="44" spans="1:3" s="213" customFormat="1" ht="12" customHeight="1" thickBot="1" x14ac:dyDescent="0.25">
      <c r="A44" s="1380" t="s">
        <v>53</v>
      </c>
      <c r="B44" s="1381"/>
      <c r="C44" s="1382"/>
    </row>
    <row r="45" spans="1:3" ht="12" customHeight="1" thickBot="1" x14ac:dyDescent="0.25">
      <c r="A45" s="74" t="s">
        <v>16</v>
      </c>
      <c r="B45" s="54" t="s">
        <v>346</v>
      </c>
      <c r="C45" s="524">
        <f>SUM(C46:C50)</f>
        <v>149034081</v>
      </c>
    </row>
    <row r="46" spans="1:3" ht="12" customHeight="1" x14ac:dyDescent="0.2">
      <c r="A46" s="207" t="s">
        <v>85</v>
      </c>
      <c r="B46" s="6" t="s">
        <v>46</v>
      </c>
      <c r="C46" s="34">
        <f>75694923-123808+95366</f>
        <v>75666481</v>
      </c>
    </row>
    <row r="47" spans="1:3" ht="12" customHeight="1" x14ac:dyDescent="0.2">
      <c r="A47" s="207" t="s">
        <v>86</v>
      </c>
      <c r="B47" s="5" t="s">
        <v>134</v>
      </c>
      <c r="C47" s="36">
        <f>10359218+56308+89095</f>
        <v>10504621</v>
      </c>
    </row>
    <row r="48" spans="1:3" ht="12" customHeight="1" x14ac:dyDescent="0.2">
      <c r="A48" s="207" t="s">
        <v>87</v>
      </c>
      <c r="B48" s="5" t="s">
        <v>110</v>
      </c>
      <c r="C48" s="674">
        <f>61692314+800000+20000+67500+3500000-280712-2936124+1</f>
        <v>62862979</v>
      </c>
    </row>
    <row r="49" spans="1:6" ht="12" customHeight="1" x14ac:dyDescent="0.2">
      <c r="A49" s="207" t="s">
        <v>88</v>
      </c>
      <c r="B49" s="5" t="s">
        <v>135</v>
      </c>
      <c r="C49" s="36"/>
    </row>
    <row r="50" spans="1:6" ht="12" customHeight="1" thickBot="1" x14ac:dyDescent="0.25">
      <c r="A50" s="207" t="s">
        <v>111</v>
      </c>
      <c r="B50" s="5" t="s">
        <v>136</v>
      </c>
      <c r="C50" s="36"/>
    </row>
    <row r="51" spans="1:6" s="213" customFormat="1" ht="12" customHeight="1" thickBot="1" x14ac:dyDescent="0.25">
      <c r="A51" s="74" t="s">
        <v>17</v>
      </c>
      <c r="B51" s="54" t="s">
        <v>347</v>
      </c>
      <c r="C51" s="124">
        <f>SUM(C52:C54)</f>
        <v>8628683</v>
      </c>
    </row>
    <row r="52" spans="1:6" ht="12" customHeight="1" x14ac:dyDescent="0.2">
      <c r="A52" s="207" t="s">
        <v>91</v>
      </c>
      <c r="B52" s="6" t="s">
        <v>157</v>
      </c>
      <c r="C52" s="34">
        <f>6858790+1567338+202555</f>
        <v>8628683</v>
      </c>
    </row>
    <row r="53" spans="1:6" ht="12" customHeight="1" x14ac:dyDescent="0.2">
      <c r="A53" s="207" t="s">
        <v>92</v>
      </c>
      <c r="B53" s="5" t="s">
        <v>138</v>
      </c>
      <c r="C53" s="36"/>
    </row>
    <row r="54" spans="1:6" ht="12" customHeight="1" x14ac:dyDescent="0.2">
      <c r="A54" s="207" t="s">
        <v>93</v>
      </c>
      <c r="B54" s="5" t="s">
        <v>54</v>
      </c>
      <c r="C54" s="526"/>
    </row>
    <row r="55" spans="1:6" ht="15" customHeight="1" thickBot="1" x14ac:dyDescent="0.25">
      <c r="A55" s="207" t="s">
        <v>94</v>
      </c>
      <c r="B55" s="5" t="s">
        <v>465</v>
      </c>
      <c r="C55" s="526"/>
    </row>
    <row r="56" spans="1:6" ht="13.5" thickBot="1" x14ac:dyDescent="0.25">
      <c r="A56" s="74" t="s">
        <v>18</v>
      </c>
      <c r="B56" s="54" t="s">
        <v>12</v>
      </c>
      <c r="C56" s="531"/>
    </row>
    <row r="57" spans="1:6" ht="15" customHeight="1" thickBot="1" x14ac:dyDescent="0.25">
      <c r="A57" s="74" t="s">
        <v>19</v>
      </c>
      <c r="B57" s="93" t="s">
        <v>466</v>
      </c>
      <c r="C57" s="539">
        <f>+C45+C51+C56</f>
        <v>157662764</v>
      </c>
    </row>
    <row r="58" spans="1:6" ht="14.25" customHeight="1" thickBot="1" x14ac:dyDescent="0.25">
      <c r="C58" s="540"/>
    </row>
    <row r="59" spans="1:6" x14ac:dyDescent="0.2">
      <c r="A59" s="1388" t="s">
        <v>459</v>
      </c>
      <c r="B59" s="1389"/>
      <c r="C59" s="909">
        <f>19.75</f>
        <v>19.75</v>
      </c>
      <c r="E59" s="465"/>
      <c r="F59" s="465"/>
    </row>
    <row r="60" spans="1:6" ht="13.5" customHeight="1" thickBot="1" x14ac:dyDescent="0.25">
      <c r="A60" s="1386" t="s">
        <v>854</v>
      </c>
      <c r="B60" s="1387"/>
      <c r="C60" s="585"/>
      <c r="E60" s="647"/>
      <c r="F60" s="647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A2" sqref="A2"/>
    </sheetView>
  </sheetViews>
  <sheetFormatPr defaultColWidth="9.33203125" defaultRowHeight="12.75" x14ac:dyDescent="0.2"/>
  <cols>
    <col min="1" max="1" width="13.83203125" style="94" customWidth="1"/>
    <col min="2" max="2" width="82" style="304" customWidth="1"/>
    <col min="3" max="3" width="28.5" style="304" customWidth="1"/>
    <col min="4" max="16384" width="9.33203125" style="304"/>
  </cols>
  <sheetData>
    <row r="1" spans="1:8" ht="12.75" customHeight="1" x14ac:dyDescent="0.2">
      <c r="A1" s="1385" t="str">
        <f>CONCATENATE("20. melléklet"," ",ALAPADATOK!A7," ",ALAPADATOK!B7," ",ALAPADATOK!C7," ",ALAPADATOK!D8," ",ALAPADATOK!E7," ",ALAPADATOK!F7," ",ALAPADATOK!G7," ",ALAPADATOK!H7)</f>
        <v>20. melléklet az 5 / 2023. ( II.24. ) önkormányzati rendelethez</v>
      </c>
      <c r="B1" s="1385"/>
      <c r="C1" s="1385"/>
    </row>
    <row r="2" spans="1:8" s="1" customFormat="1" ht="21" customHeight="1" x14ac:dyDescent="0.2">
      <c r="A2" s="75"/>
      <c r="B2" s="76"/>
      <c r="C2" s="211"/>
    </row>
    <row r="3" spans="1:8" s="37" customFormat="1" ht="36.75" customHeight="1" thickBot="1" x14ac:dyDescent="0.25">
      <c r="A3" s="1335" t="s">
        <v>927</v>
      </c>
      <c r="B3" s="1335"/>
      <c r="C3" s="1335"/>
    </row>
    <row r="4" spans="1:8" ht="13.5" thickBot="1" x14ac:dyDescent="0.25">
      <c r="A4" s="172" t="s">
        <v>153</v>
      </c>
      <c r="B4" s="79" t="s">
        <v>50</v>
      </c>
      <c r="C4" s="80" t="s">
        <v>895</v>
      </c>
    </row>
    <row r="5" spans="1:8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32" customFormat="1" ht="15.95" customHeight="1" thickBot="1" x14ac:dyDescent="0.25">
      <c r="A6" s="81"/>
      <c r="B6" s="82" t="s">
        <v>52</v>
      </c>
      <c r="C6" s="83"/>
    </row>
    <row r="7" spans="1:8" s="38" customFormat="1" ht="12" customHeight="1" thickBot="1" x14ac:dyDescent="0.25">
      <c r="A7" s="71" t="s">
        <v>16</v>
      </c>
      <c r="B7" s="84" t="s">
        <v>461</v>
      </c>
      <c r="C7" s="124">
        <f>SUM(C8:C18)</f>
        <v>4611898</v>
      </c>
    </row>
    <row r="8" spans="1:8" s="38" customFormat="1" ht="12" customHeight="1" x14ac:dyDescent="0.2">
      <c r="A8" s="206" t="s">
        <v>85</v>
      </c>
      <c r="B8" s="7" t="s">
        <v>207</v>
      </c>
      <c r="C8" s="427"/>
      <c r="H8" s="1014"/>
    </row>
    <row r="9" spans="1:8" s="38" customFormat="1" ht="12" customHeight="1" x14ac:dyDescent="0.2">
      <c r="A9" s="207" t="s">
        <v>86</v>
      </c>
      <c r="B9" s="5" t="s">
        <v>208</v>
      </c>
      <c r="C9" s="36">
        <f>909435+192926</f>
        <v>1102361</v>
      </c>
      <c r="H9" s="1014"/>
    </row>
    <row r="10" spans="1:8" s="38" customFormat="1" ht="12" customHeight="1" x14ac:dyDescent="0.2">
      <c r="A10" s="207" t="s">
        <v>87</v>
      </c>
      <c r="B10" s="5" t="s">
        <v>209</v>
      </c>
      <c r="C10" s="36"/>
    </row>
    <row r="11" spans="1:8" s="38" customFormat="1" ht="12" customHeight="1" x14ac:dyDescent="0.2">
      <c r="A11" s="207" t="s">
        <v>88</v>
      </c>
      <c r="B11" s="5" t="s">
        <v>210</v>
      </c>
      <c r="C11" s="36"/>
    </row>
    <row r="12" spans="1:8" s="38" customFormat="1" ht="12" customHeight="1" x14ac:dyDescent="0.2">
      <c r="A12" s="207" t="s">
        <v>111</v>
      </c>
      <c r="B12" s="5" t="s">
        <v>211</v>
      </c>
      <c r="C12" s="36"/>
    </row>
    <row r="13" spans="1:8" s="38" customFormat="1" ht="12" customHeight="1" x14ac:dyDescent="0.2">
      <c r="A13" s="207" t="s">
        <v>89</v>
      </c>
      <c r="B13" s="5" t="s">
        <v>331</v>
      </c>
      <c r="C13" s="36">
        <f>245549+52090</f>
        <v>297639</v>
      </c>
    </row>
    <row r="14" spans="1:8" s="38" customFormat="1" ht="12" customHeight="1" x14ac:dyDescent="0.2">
      <c r="A14" s="207" t="s">
        <v>90</v>
      </c>
      <c r="B14" s="4" t="s">
        <v>332</v>
      </c>
      <c r="C14" s="36"/>
    </row>
    <row r="15" spans="1:8" s="38" customFormat="1" ht="12" customHeight="1" x14ac:dyDescent="0.2">
      <c r="A15" s="207" t="s">
        <v>100</v>
      </c>
      <c r="B15" s="5" t="s">
        <v>214</v>
      </c>
      <c r="C15" s="125"/>
    </row>
    <row r="16" spans="1:8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87"/>
    </row>
    <row r="18" spans="1:3" s="39" customFormat="1" ht="12" customHeight="1" thickBot="1" x14ac:dyDescent="0.25">
      <c r="A18" s="207" t="s">
        <v>103</v>
      </c>
      <c r="B18" s="4" t="s">
        <v>216</v>
      </c>
      <c r="C18" s="387">
        <f>3211898</f>
        <v>3211898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526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1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8" customFormat="1" ht="12" customHeight="1" thickBot="1" x14ac:dyDescent="0.25">
      <c r="A33" s="207" t="s">
        <v>80</v>
      </c>
      <c r="B33" s="57" t="s">
        <v>223</v>
      </c>
      <c r="C33" s="671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4611898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2">
        <f>+C38+C39+C40</f>
        <v>85000</v>
      </c>
    </row>
    <row r="38" spans="1:3" s="38" customFormat="1" ht="12" customHeight="1" x14ac:dyDescent="0.2">
      <c r="A38" s="208" t="s">
        <v>341</v>
      </c>
      <c r="B38" s="209" t="s">
        <v>166</v>
      </c>
      <c r="C38" s="34"/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887">
        <v>85000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4696898</v>
      </c>
    </row>
    <row r="42" spans="1:3" x14ac:dyDescent="0.2">
      <c r="A42" s="87"/>
      <c r="B42" s="88"/>
      <c r="C42" s="159"/>
    </row>
    <row r="43" spans="1:3" s="32" customFormat="1" ht="16.5" customHeight="1" thickBot="1" x14ac:dyDescent="0.25">
      <c r="A43" s="89"/>
      <c r="B43" s="90"/>
      <c r="C43" s="160"/>
    </row>
    <row r="44" spans="1:3" s="213" customFormat="1" ht="12" customHeight="1" thickBot="1" x14ac:dyDescent="0.25">
      <c r="A44" s="91"/>
      <c r="B44" s="92" t="s">
        <v>53</v>
      </c>
      <c r="C44" s="161"/>
    </row>
    <row r="45" spans="1:3" ht="12" customHeight="1" thickBot="1" x14ac:dyDescent="0.25">
      <c r="A45" s="74" t="s">
        <v>16</v>
      </c>
      <c r="B45" s="54" t="s">
        <v>346</v>
      </c>
      <c r="C45" s="124">
        <f>SUM(C46:C50)</f>
        <v>1758391</v>
      </c>
    </row>
    <row r="46" spans="1:3" ht="12" customHeight="1" x14ac:dyDescent="0.2">
      <c r="A46" s="207" t="s">
        <v>85</v>
      </c>
      <c r="B46" s="6" t="s">
        <v>46</v>
      </c>
      <c r="C46" s="532">
        <v>157480</v>
      </c>
    </row>
    <row r="47" spans="1:3" ht="12" customHeight="1" x14ac:dyDescent="0.2">
      <c r="A47" s="207" t="s">
        <v>86</v>
      </c>
      <c r="B47" s="5" t="s">
        <v>134</v>
      </c>
      <c r="C47" s="526">
        <v>66080</v>
      </c>
    </row>
    <row r="48" spans="1:3" ht="12" customHeight="1" x14ac:dyDescent="0.2">
      <c r="A48" s="207" t="s">
        <v>87</v>
      </c>
      <c r="B48" s="5" t="s">
        <v>110</v>
      </c>
      <c r="C48" s="674">
        <f>1197504+85000+251616-1</f>
        <v>1534119</v>
      </c>
    </row>
    <row r="49" spans="1:3" ht="12" customHeight="1" x14ac:dyDescent="0.2">
      <c r="A49" s="207" t="s">
        <v>88</v>
      </c>
      <c r="B49" s="5" t="s">
        <v>135</v>
      </c>
      <c r="C49" s="526"/>
    </row>
    <row r="50" spans="1:3" ht="12" customHeight="1" thickBot="1" x14ac:dyDescent="0.25">
      <c r="A50" s="207" t="s">
        <v>111</v>
      </c>
      <c r="B50" s="5" t="s">
        <v>136</v>
      </c>
      <c r="C50" s="674">
        <f>711+1</f>
        <v>712</v>
      </c>
    </row>
    <row r="51" spans="1:3" s="213" customFormat="1" ht="12" customHeight="1" thickBot="1" x14ac:dyDescent="0.25">
      <c r="A51" s="74" t="s">
        <v>17</v>
      </c>
      <c r="B51" s="54" t="s">
        <v>347</v>
      </c>
      <c r="C51" s="124">
        <f>SUM(C52:C54)</f>
        <v>484000</v>
      </c>
    </row>
    <row r="52" spans="1:3" ht="12" customHeight="1" x14ac:dyDescent="0.2">
      <c r="A52" s="207" t="s">
        <v>91</v>
      </c>
      <c r="B52" s="6" t="s">
        <v>157</v>
      </c>
      <c r="C52" s="673"/>
    </row>
    <row r="53" spans="1:3" ht="12" customHeight="1" x14ac:dyDescent="0.2">
      <c r="A53" s="207" t="s">
        <v>92</v>
      </c>
      <c r="B53" s="5" t="s">
        <v>138</v>
      </c>
      <c r="C53" s="674"/>
    </row>
    <row r="54" spans="1:3" ht="12" customHeight="1" x14ac:dyDescent="0.2">
      <c r="A54" s="207" t="s">
        <v>93</v>
      </c>
      <c r="B54" s="5" t="s">
        <v>54</v>
      </c>
      <c r="C54" s="36">
        <v>484000</v>
      </c>
    </row>
    <row r="55" spans="1:3" ht="15" customHeight="1" thickBot="1" x14ac:dyDescent="0.25">
      <c r="A55" s="207" t="s">
        <v>94</v>
      </c>
      <c r="B55" s="5" t="s">
        <v>465</v>
      </c>
      <c r="C55" s="36">
        <v>484000</v>
      </c>
    </row>
    <row r="56" spans="1:3" ht="13.5" thickBot="1" x14ac:dyDescent="0.25">
      <c r="A56" s="74" t="s">
        <v>18</v>
      </c>
      <c r="B56" s="54" t="s">
        <v>12</v>
      </c>
      <c r="C56" s="142"/>
    </row>
    <row r="57" spans="1:3" ht="15" customHeight="1" thickBot="1" x14ac:dyDescent="0.25">
      <c r="A57" s="74" t="s">
        <v>19</v>
      </c>
      <c r="B57" s="93" t="s">
        <v>466</v>
      </c>
      <c r="C57" s="162">
        <f>+C45+C51+C56</f>
        <v>2242391</v>
      </c>
    </row>
    <row r="58" spans="1:3" ht="14.25" customHeight="1" thickBot="1" x14ac:dyDescent="0.25">
      <c r="C58" s="163"/>
    </row>
    <row r="59" spans="1:3" ht="13.5" thickBot="1" x14ac:dyDescent="0.25">
      <c r="A59" s="95" t="s">
        <v>459</v>
      </c>
      <c r="B59" s="96"/>
      <c r="C59" s="389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zoomScale="120" zoomScaleNormal="12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47" hidden="1" customWidth="1"/>
    <col min="6" max="6" width="12.5" style="647" hidden="1" customWidth="1"/>
    <col min="7" max="8" width="9.33203125" style="304" customWidth="1"/>
    <col min="9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85" t="str">
        <f>CONCATENATE("21. melléklet"," ",ALAPADATOK!A7," ",ALAPADATOK!B7," ",ALAPADATOK!C7," ",ALAPADATOK!D8," ",ALAPADATOK!E7," ",ALAPADATOK!F7," ",ALAPADATOK!G7," ",ALAPADATOK!H7)</f>
        <v>21. melléklet az 5 / 2023. ( II.24. ) önkormányzati rendelethez</v>
      </c>
      <c r="B1" s="1385"/>
      <c r="C1" s="1385"/>
    </row>
    <row r="2" spans="1:6" s="1" customFormat="1" ht="21" customHeight="1" x14ac:dyDescent="0.2">
      <c r="A2" s="75"/>
      <c r="B2" s="76"/>
      <c r="C2" s="310"/>
      <c r="E2" s="647"/>
      <c r="F2" s="647"/>
    </row>
    <row r="3" spans="1:6" s="37" customFormat="1" ht="33" customHeight="1" thickBot="1" x14ac:dyDescent="0.25">
      <c r="A3" s="1335" t="s">
        <v>903</v>
      </c>
      <c r="B3" s="1335"/>
      <c r="C3" s="1335"/>
      <c r="E3" s="463"/>
      <c r="F3" s="463"/>
    </row>
    <row r="4" spans="1:6" ht="13.5" thickBot="1" x14ac:dyDescent="0.25">
      <c r="A4" s="172" t="s">
        <v>153</v>
      </c>
      <c r="B4" s="79" t="s">
        <v>50</v>
      </c>
      <c r="C4" s="314" t="s">
        <v>895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4"/>
      <c r="F5" s="464"/>
    </row>
    <row r="6" spans="1:6" s="32" customFormat="1" ht="15.95" customHeight="1" thickBot="1" x14ac:dyDescent="0.25">
      <c r="A6" s="81"/>
      <c r="B6" s="82" t="s">
        <v>52</v>
      </c>
      <c r="C6" s="316"/>
      <c r="E6" s="464"/>
      <c r="F6" s="464"/>
    </row>
    <row r="7" spans="1:6" s="38" customFormat="1" ht="12" customHeight="1" thickBot="1" x14ac:dyDescent="0.25">
      <c r="A7" s="71" t="s">
        <v>16</v>
      </c>
      <c r="B7" s="84" t="s">
        <v>461</v>
      </c>
      <c r="C7" s="524">
        <f>SUM(C8:C18)</f>
        <v>201518107</v>
      </c>
      <c r="E7" s="465">
        <f>'28. sz. mell Kornisné Kp. '!C7+'29. sz. mell Kornisné Kp.'!C7+'30. sz. mell Kornisné Kp '!C9</f>
        <v>201518107</v>
      </c>
      <c r="F7" s="465">
        <f>C7-E7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525"/>
      <c r="E8" s="465">
        <f>'28. sz. mell Kornisné Kp. '!C8+'29. sz. mell Kornisné Kp.'!C8+'30. sz. mell Kornisné Kp '!C10</f>
        <v>0</v>
      </c>
      <c r="F8" s="465">
        <f t="shared" ref="F8:F58" si="0">C8-E8</f>
        <v>0</v>
      </c>
    </row>
    <row r="9" spans="1:6" s="38" customFormat="1" ht="12" customHeight="1" x14ac:dyDescent="0.2">
      <c r="A9" s="207" t="s">
        <v>86</v>
      </c>
      <c r="B9" s="5" t="s">
        <v>208</v>
      </c>
      <c r="C9" s="526">
        <f>12544400+800000+691661</f>
        <v>14036061</v>
      </c>
      <c r="E9" s="465">
        <f>'28. sz. mell Kornisné Kp. '!C9+'29. sz. mell Kornisné Kp.'!C9+'30. sz. mell Kornisné Kp '!C11</f>
        <v>14036061</v>
      </c>
      <c r="F9" s="465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526">
        <v>10150000</v>
      </c>
      <c r="E10" s="465">
        <f>'28. sz. mell Kornisné Kp. '!C10+'29. sz. mell Kornisné Kp.'!C10+'30. sz. mell Kornisné Kp '!C12</f>
        <v>10150000</v>
      </c>
      <c r="F10" s="465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526"/>
      <c r="E11" s="465">
        <f>'28. sz. mell Kornisné Kp. '!C11+'29. sz. mell Kornisné Kp.'!C11+'30. sz. mell Kornisné Kp '!C13</f>
        <v>0</v>
      </c>
      <c r="F11" s="465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674">
        <f>163364832+4006980+5424030</f>
        <v>172795842</v>
      </c>
      <c r="E12" s="465">
        <f>'28. sz. mell Kornisné Kp. '!C12+'29. sz. mell Kornisné Kp.'!C12+'30. sz. mell Kornisné Kp '!C14</f>
        <v>172795842</v>
      </c>
      <c r="F12" s="465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526">
        <f>3784224+216000+186749</f>
        <v>4186973</v>
      </c>
      <c r="E13" s="465">
        <f>'28. sz. mell Kornisné Kp. '!C13+'29. sz. mell Kornisné Kp.'!C13+'30. sz. mell Kornisné Kp '!C15</f>
        <v>4186973</v>
      </c>
      <c r="F13" s="465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526"/>
      <c r="E14" s="465">
        <f>'28. sz. mell Kornisné Kp. '!C14+'29. sz. mell Kornisné Kp.'!C14+'30. sz. mell Kornisné Kp '!C16</f>
        <v>0</v>
      </c>
      <c r="F14" s="465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527"/>
      <c r="E15" s="465">
        <f>'28. sz. mell Kornisné Kp. '!C15+'29. sz. mell Kornisné Kp.'!C15+'30. sz. mell Kornisné Kp '!C17</f>
        <v>0</v>
      </c>
      <c r="F15" s="465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526"/>
      <c r="E16" s="465">
        <f>'28. sz. mell Kornisné Kp. '!C16+'29. sz. mell Kornisné Kp.'!C16+'30. sz. mell Kornisné Kp '!C18</f>
        <v>0</v>
      </c>
      <c r="F16" s="465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28"/>
      <c r="E17" s="465">
        <f>'28. sz. mell Kornisné Kp. '!C17+'29. sz. mell Kornisné Kp.'!C17+'30. sz. mell Kornisné Kp '!C19</f>
        <v>0</v>
      </c>
      <c r="F17" s="465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1277">
        <f>273261+75970</f>
        <v>349231</v>
      </c>
      <c r="E18" s="465">
        <f>'28. sz. mell Kornisné Kp. '!C18+'29. sz. mell Kornisné Kp.'!C18+'30. sz. mell Kornisné Kp '!C20</f>
        <v>349231</v>
      </c>
      <c r="F18" s="465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124">
        <f>SUM(C20:C22)</f>
        <v>73090010</v>
      </c>
      <c r="E19" s="465">
        <f>'28. sz. mell Kornisné Kp. '!C19+'29. sz. mell Kornisné Kp.'!C19+'30. sz. mell Kornisné Kp '!C21</f>
        <v>73090010</v>
      </c>
      <c r="F19" s="465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26"/>
      <c r="E20" s="465">
        <f>'28. sz. mell Kornisné Kp. '!C20+'29. sz. mell Kornisné Kp.'!C20+'30. sz. mell Kornisné Kp '!C22</f>
        <v>0</v>
      </c>
      <c r="F20" s="465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26"/>
      <c r="E21" s="465">
        <f>'28. sz. mell Kornisné Kp. '!C21+'29. sz. mell Kornisné Kp.'!C21+'30. sz. mell Kornisné Kp '!C23</f>
        <v>0</v>
      </c>
      <c r="F21" s="465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36">
        <f>51102780+21987230</f>
        <v>73090010</v>
      </c>
      <c r="E22" s="465">
        <f>'28. sz. mell Kornisné Kp. '!C22+'29. sz. mell Kornisné Kp.'!C22+'30. sz. mell Kornisné Kp '!C24</f>
        <v>73090010</v>
      </c>
      <c r="F22" s="465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26"/>
      <c r="E23" s="465">
        <f>'28. sz. mell Kornisné Kp. '!C23+'29. sz. mell Kornisné Kp.'!C23+'30. sz. mell Kornisné Kp '!C25</f>
        <v>0</v>
      </c>
      <c r="F23" s="465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1"/>
      <c r="E24" s="465">
        <f>'28. sz. mell Kornisné Kp. '!C24+'29. sz. mell Kornisné Kp.'!C24+'30. sz. mell Kornisné Kp '!C26</f>
        <v>0</v>
      </c>
      <c r="F24" s="465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4">
        <f>+C26+C27+C28</f>
        <v>18860990</v>
      </c>
      <c r="E25" s="465">
        <f>'28. sz. mell Kornisné Kp. '!C25+'29. sz. mell Kornisné Kp.'!C25+'30. sz. mell Kornisné Kp '!C27</f>
        <v>18860990</v>
      </c>
      <c r="F25" s="465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2"/>
      <c r="E26" s="465">
        <f>'28. sz. mell Kornisné Kp. '!C26+'29. sz. mell Kornisné Kp.'!C26+'30. sz. mell Kornisné Kp '!C28</f>
        <v>0</v>
      </c>
      <c r="F26" s="465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29"/>
      <c r="E27" s="465">
        <f>'28. sz. mell Kornisné Kp. '!C27+'29. sz. mell Kornisné Kp.'!C27+'30. sz. mell Kornisné Kp '!C29</f>
        <v>0</v>
      </c>
      <c r="F27" s="465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526">
        <v>18860990</v>
      </c>
      <c r="E28" s="465">
        <f>'28. sz. mell Kornisné Kp. '!C28+'29. sz. mell Kornisné Kp.'!C28+'30. sz. mell Kornisné Kp '!C30</f>
        <v>18860990</v>
      </c>
      <c r="F28" s="465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3"/>
      <c r="E29" s="465">
        <f>'28. sz. mell Kornisné Kp. '!C29+'29. sz. mell Kornisné Kp.'!C29+'30. sz. mell Kornisné Kp '!C31</f>
        <v>0</v>
      </c>
      <c r="F29" s="465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  <c r="E30" s="465">
        <f>'28. sz. mell Kornisné Kp. '!C30+'29. sz. mell Kornisné Kp.'!C30+'30. sz. mell Kornisné Kp '!C32</f>
        <v>0</v>
      </c>
      <c r="F30" s="465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2"/>
      <c r="E31" s="465">
        <f>'28. sz. mell Kornisné Kp. '!C31+'29. sz. mell Kornisné Kp.'!C31+'30. sz. mell Kornisné Kp '!C33</f>
        <v>0</v>
      </c>
      <c r="F31" s="465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27"/>
      <c r="E32" s="465">
        <f>'28. sz. mell Kornisné Kp. '!C32+'29. sz. mell Kornisné Kp.'!C32+'30. sz. mell Kornisné Kp '!C34</f>
        <v>0</v>
      </c>
      <c r="F32" s="465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3"/>
      <c r="E33" s="465">
        <f>'28. sz. mell Kornisné Kp. '!C33+'29. sz. mell Kornisné Kp.'!C33+'30. sz. mell Kornisné Kp '!C35</f>
        <v>0</v>
      </c>
      <c r="F33" s="465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531">
        <v>456096</v>
      </c>
      <c r="E34" s="465">
        <f>'28. sz. mell Kornisné Kp. '!C34+'29. sz. mell Kornisné Kp.'!C34+'30. sz. mell Kornisné Kp '!C36</f>
        <v>456096</v>
      </c>
      <c r="F34" s="465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739">
        <v>200000</v>
      </c>
      <c r="E35" s="465">
        <f>'28. sz. mell Kornisné Kp. '!C35+'29. sz. mell Kornisné Kp.'!C35+'30. sz. mell Kornisné Kp '!C37</f>
        <v>200000</v>
      </c>
      <c r="F35" s="465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294125203</v>
      </c>
      <c r="E36" s="465">
        <f>'28. sz. mell Kornisné Kp. '!C36+'29. sz. mell Kornisné Kp.'!C36+'30. sz. mell Kornisné Kp '!C38</f>
        <v>294125203</v>
      </c>
      <c r="F36" s="465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535">
        <f>SUM(C38:C40)</f>
        <v>869491607</v>
      </c>
      <c r="E37" s="465">
        <f>'28. sz. mell Kornisné Kp. '!C37+'29. sz. mell Kornisné Kp.'!C37+'30. sz. mell Kornisné Kp '!C39</f>
        <v>869491607</v>
      </c>
      <c r="F37" s="465">
        <f t="shared" si="0"/>
        <v>0</v>
      </c>
    </row>
    <row r="38" spans="1:6" s="38" customFormat="1" ht="12" customHeight="1" x14ac:dyDescent="0.2">
      <c r="A38" s="208" t="s">
        <v>341</v>
      </c>
      <c r="B38" s="209" t="s">
        <v>166</v>
      </c>
      <c r="C38" s="532">
        <v>53996950</v>
      </c>
      <c r="E38" s="465">
        <f>'28. sz. mell Kornisné Kp. '!C38+'29. sz. mell Kornisné Kp.'!C38+'30. sz. mell Kornisné Kp '!C40</f>
        <v>53996950</v>
      </c>
      <c r="F38" s="465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27"/>
      <c r="E39" s="465">
        <f>'28. sz. mell Kornisné Kp. '!C39+'29. sz. mell Kornisné Kp.'!C39+'30. sz. mell Kornisné Kp '!C41</f>
        <v>0</v>
      </c>
      <c r="F39" s="465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887">
        <f>783855377+315628+36823652-5500000</f>
        <v>815494657</v>
      </c>
      <c r="E40" s="465">
        <f>'28. sz. mell Kornisné Kp. '!C40+'29. sz. mell Kornisné Kp.'!C40+'30. sz. mell Kornisné Kp '!C42</f>
        <v>815494657</v>
      </c>
      <c r="F40" s="465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35">
        <f>+C36+C37</f>
        <v>1163616810</v>
      </c>
      <c r="E41" s="465">
        <f>'28. sz. mell Kornisné Kp. '!C41+'29. sz. mell Kornisné Kp.'!C41+'30. sz. mell Kornisné Kp '!C43</f>
        <v>1163616810</v>
      </c>
      <c r="F41" s="465">
        <f t="shared" si="0"/>
        <v>0</v>
      </c>
    </row>
    <row r="42" spans="1:6" s="213" customFormat="1" ht="12" customHeight="1" thickBot="1" x14ac:dyDescent="0.25">
      <c r="A42" s="91"/>
      <c r="B42" s="92" t="s">
        <v>53</v>
      </c>
      <c r="C42" s="536"/>
      <c r="E42" s="465">
        <f>'28. sz. mell Kornisné Kp. '!C42+'29. sz. mell Kornisné Kp.'!C42+'30. sz. mell Kornisné Kp '!C46</f>
        <v>0</v>
      </c>
      <c r="F42" s="465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24">
        <f>SUM(C44:C48)</f>
        <v>1138676316</v>
      </c>
      <c r="E43" s="465">
        <f>'28. sz. mell Kornisné Kp. '!C43+'29. sz. mell Kornisné Kp.'!C43+'30. sz. mell Kornisné Kp '!C47</f>
        <v>1138676316</v>
      </c>
      <c r="F43" s="465">
        <f t="shared" si="0"/>
        <v>0</v>
      </c>
    </row>
    <row r="44" spans="1:6" ht="12" customHeight="1" x14ac:dyDescent="0.2">
      <c r="A44" s="207" t="s">
        <v>85</v>
      </c>
      <c r="B44" s="6" t="s">
        <v>46</v>
      </c>
      <c r="C44" s="34">
        <f>707050335-7929943-11142770</f>
        <v>687977622</v>
      </c>
      <c r="E44" s="465">
        <f>'28. sz. mell Kornisné Kp. '!C44+'29. sz. mell Kornisné Kp.'!C44+'30. sz. mell Kornisné Kp '!C48</f>
        <v>687977622</v>
      </c>
      <c r="F44" s="465">
        <f t="shared" si="0"/>
        <v>0</v>
      </c>
    </row>
    <row r="45" spans="1:6" ht="12" customHeight="1" x14ac:dyDescent="0.2">
      <c r="A45" s="207" t="s">
        <v>86</v>
      </c>
      <c r="B45" s="5" t="s">
        <v>134</v>
      </c>
      <c r="C45" s="36">
        <f>99767565-1030893+1030000</f>
        <v>99766672</v>
      </c>
      <c r="E45" s="465">
        <f>'28. sz. mell Kornisné Kp. '!C45+'29. sz. mell Kornisné Kp.'!C45+'30. sz. mell Kornisné Kp '!C49</f>
        <v>99766672</v>
      </c>
      <c r="F45" s="465">
        <f t="shared" si="0"/>
        <v>0</v>
      </c>
    </row>
    <row r="46" spans="1:6" ht="12" customHeight="1" x14ac:dyDescent="0.2">
      <c r="A46" s="207" t="s">
        <v>87</v>
      </c>
      <c r="B46" s="5" t="s">
        <v>110</v>
      </c>
      <c r="C46" s="36">
        <f>265097712+315628+8960836-501292+1472096+4885390+36823652+1778000+32100000</f>
        <v>350932022</v>
      </c>
      <c r="E46" s="465">
        <f>'28. sz. mell Kornisné Kp. '!C46+'29. sz. mell Kornisné Kp.'!C46+'30. sz. mell Kornisné Kp '!C50</f>
        <v>350932022</v>
      </c>
      <c r="F46" s="465">
        <f t="shared" si="0"/>
        <v>0</v>
      </c>
    </row>
    <row r="47" spans="1:6" ht="12" customHeight="1" x14ac:dyDescent="0.2">
      <c r="A47" s="207" t="s">
        <v>88</v>
      </c>
      <c r="B47" s="5" t="s">
        <v>135</v>
      </c>
      <c r="C47" s="526"/>
      <c r="E47" s="465">
        <f>'28. sz. mell Kornisné Kp. '!C47+'29. sz. mell Kornisné Kp.'!C47+'30. sz. mell Kornisné Kp '!C51</f>
        <v>0</v>
      </c>
      <c r="F47" s="465">
        <f t="shared" si="0"/>
        <v>0</v>
      </c>
    </row>
    <row r="48" spans="1:6" ht="12" customHeight="1" thickBot="1" x14ac:dyDescent="0.25">
      <c r="A48" s="207" t="s">
        <v>111</v>
      </c>
      <c r="B48" s="5" t="s">
        <v>136</v>
      </c>
      <c r="C48" s="526"/>
      <c r="E48" s="465">
        <f>'28. sz. mell Kornisné Kp. '!C48+'29. sz. mell Kornisné Kp.'!C48+'30. sz. mell Kornisné Kp '!C52</f>
        <v>0</v>
      </c>
      <c r="F48" s="465">
        <f t="shared" si="0"/>
        <v>0</v>
      </c>
    </row>
    <row r="49" spans="1:6" s="213" customFormat="1" ht="12" customHeight="1" thickBot="1" x14ac:dyDescent="0.25">
      <c r="A49" s="74" t="s">
        <v>17</v>
      </c>
      <c r="B49" s="54" t="s">
        <v>347</v>
      </c>
      <c r="C49" s="524">
        <f>SUM(C50:C52)</f>
        <v>24940494</v>
      </c>
      <c r="E49" s="465">
        <f>'28. sz. mell Kornisné Kp. '!C49+'29. sz. mell Kornisné Kp.'!C49+'30. sz. mell Kornisné Kp '!C53</f>
        <v>24940494</v>
      </c>
      <c r="F49" s="465">
        <f t="shared" si="0"/>
        <v>0</v>
      </c>
    </row>
    <row r="50" spans="1:6" ht="12" customHeight="1" x14ac:dyDescent="0.2">
      <c r="A50" s="207" t="s">
        <v>91</v>
      </c>
      <c r="B50" s="6" t="s">
        <v>157</v>
      </c>
      <c r="C50" s="673">
        <f>25743941+774553-1778000+200000</f>
        <v>24940494</v>
      </c>
      <c r="E50" s="465">
        <f>'28. sz. mell Kornisné Kp. '!C50+'29. sz. mell Kornisné Kp.'!C50+'30. sz. mell Kornisné Kp '!C54</f>
        <v>24940494</v>
      </c>
      <c r="F50" s="465">
        <f t="shared" si="0"/>
        <v>0</v>
      </c>
    </row>
    <row r="51" spans="1:6" ht="12" customHeight="1" x14ac:dyDescent="0.2">
      <c r="A51" s="207" t="s">
        <v>92</v>
      </c>
      <c r="B51" s="5" t="s">
        <v>138</v>
      </c>
      <c r="C51" s="526"/>
      <c r="E51" s="465">
        <f>'28. sz. mell Kornisné Kp. '!C51+'29. sz. mell Kornisné Kp.'!C51+'30. sz. mell Kornisné Kp '!C55</f>
        <v>0</v>
      </c>
      <c r="F51" s="465">
        <f t="shared" si="0"/>
        <v>0</v>
      </c>
    </row>
    <row r="52" spans="1:6" ht="12" customHeight="1" x14ac:dyDescent="0.2">
      <c r="A52" s="207" t="s">
        <v>93</v>
      </c>
      <c r="B52" s="5" t="s">
        <v>54</v>
      </c>
      <c r="C52" s="526"/>
      <c r="E52" s="465">
        <f>'28. sz. mell Kornisné Kp. '!C52+'29. sz. mell Kornisné Kp.'!C52+'30. sz. mell Kornisné Kp '!C56</f>
        <v>0</v>
      </c>
      <c r="F52" s="465">
        <f t="shared" si="0"/>
        <v>0</v>
      </c>
    </row>
    <row r="53" spans="1:6" ht="15" customHeight="1" thickBot="1" x14ac:dyDescent="0.25">
      <c r="A53" s="207" t="s">
        <v>94</v>
      </c>
      <c r="B53" s="5" t="s">
        <v>465</v>
      </c>
      <c r="C53" s="526"/>
      <c r="E53" s="465">
        <f>'28. sz. mell Kornisné Kp. '!C53+'29. sz. mell Kornisné Kp.'!C53+'30. sz. mell Kornisné Kp '!C57</f>
        <v>0</v>
      </c>
      <c r="F53" s="465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31"/>
      <c r="E54" s="465">
        <f>'28. sz. mell Kornisné Kp. '!C54+'29. sz. mell Kornisné Kp.'!C54+'30. sz. mell Kornisné Kp '!C58</f>
        <v>0</v>
      </c>
      <c r="F54" s="465">
        <f t="shared" si="0"/>
        <v>0</v>
      </c>
    </row>
    <row r="55" spans="1:6" ht="15" customHeight="1" thickBot="1" x14ac:dyDescent="0.25">
      <c r="A55" s="74" t="s">
        <v>19</v>
      </c>
      <c r="B55" s="93" t="s">
        <v>466</v>
      </c>
      <c r="C55" s="539">
        <f>+C43+C49+C54</f>
        <v>1163616810</v>
      </c>
      <c r="E55" s="465">
        <f>'28. sz. mell Kornisné Kp. '!C55+'29. sz. mell Kornisné Kp.'!C55+'30. sz. mell Kornisné Kp '!C59</f>
        <v>1163616810</v>
      </c>
      <c r="F55" s="465">
        <f t="shared" si="0"/>
        <v>0</v>
      </c>
    </row>
    <row r="56" spans="1:6" ht="13.5" thickBot="1" x14ac:dyDescent="0.25">
      <c r="A56" s="1376" t="s">
        <v>459</v>
      </c>
      <c r="B56" s="1377"/>
      <c r="C56" s="896">
        <f>151-3.33+3+1-2</f>
        <v>149.66999999999999</v>
      </c>
      <c r="E56" s="465">
        <f>'28. sz. mell Kornisné Kp. '!C56+'29. sz. mell Kornisné Kp.'!C56+'30. sz. mell Kornisné Kp '!C61</f>
        <v>149.67000000000002</v>
      </c>
      <c r="F56" s="465">
        <f t="shared" si="0"/>
        <v>0</v>
      </c>
    </row>
    <row r="57" spans="1:6" s="317" customFormat="1" ht="13.9" customHeight="1" thickBot="1" x14ac:dyDescent="0.25">
      <c r="A57" s="1378" t="s">
        <v>659</v>
      </c>
      <c r="B57" s="1379"/>
      <c r="C57" s="545">
        <v>2</v>
      </c>
      <c r="E57" s="465"/>
      <c r="F57" s="465"/>
    </row>
    <row r="58" spans="1:6" s="317" customFormat="1" ht="19.899999999999999" customHeight="1" thickBot="1" x14ac:dyDescent="0.25">
      <c r="A58" s="1390" t="s">
        <v>510</v>
      </c>
      <c r="B58" s="1391"/>
      <c r="C58" s="744">
        <v>0</v>
      </c>
      <c r="E58" s="465" t="e">
        <f>'28. sz. mell Kornisné Kp. '!C58+'29. sz. mell Kornisné Kp.'!#REF!+'30. sz. mell Kornisné Kp '!C63</f>
        <v>#REF!</v>
      </c>
      <c r="F58" s="465" t="e">
        <f t="shared" si="0"/>
        <v>#REF!</v>
      </c>
    </row>
    <row r="59" spans="1:6" ht="13.5" thickBot="1" x14ac:dyDescent="0.25">
      <c r="A59" s="1392" t="s">
        <v>855</v>
      </c>
      <c r="B59" s="1393"/>
      <c r="C59" s="744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L165"/>
  <sheetViews>
    <sheetView zoomScale="115" zoomScaleNormal="115" zoomScaleSheetLayoutView="100" workbookViewId="0">
      <selection activeCell="N17" sqref="N17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1640625" style="282" customWidth="1"/>
    <col min="4" max="4" width="19.33203125" style="167" hidden="1" customWidth="1"/>
    <col min="5" max="8" width="15.83203125" style="167" hidden="1" customWidth="1"/>
    <col min="9" max="9" width="21.83203125" style="167" hidden="1" customWidth="1"/>
    <col min="10" max="12" width="9.33203125" style="167" customWidth="1"/>
    <col min="13" max="16384" width="9.33203125" style="167"/>
  </cols>
  <sheetData>
    <row r="1" spans="1:9" x14ac:dyDescent="0.25">
      <c r="A1" s="1326" t="str">
        <f>CONCATENATE("2. melléklet"," ",ALAPADATOK!A7," ",ALAPADATOK!B7," ",ALAPADATOK!C7," ",ALAPADATOK!D8," ",ALAPADATOK!E7," ",ALAPADATOK!F7," ",ALAPADATOK!G7," ",ALAPADATOK!H7)</f>
        <v>2. melléklet az 5 / 2023. ( II.24. ) önkormányzati rendelethez</v>
      </c>
      <c r="B1" s="1326"/>
      <c r="C1" s="1326"/>
    </row>
    <row r="2" spans="1:9" x14ac:dyDescent="0.25">
      <c r="A2" s="612"/>
      <c r="B2" s="612"/>
      <c r="C2" s="612"/>
    </row>
    <row r="3" spans="1:9" x14ac:dyDescent="0.25">
      <c r="A3" s="1325" t="str">
        <f>CONCATENATE(ALAPADATOK!A3)</f>
        <v>Tiszavasvári Város Önkormányzat</v>
      </c>
      <c r="B3" s="1325"/>
      <c r="C3" s="1325"/>
    </row>
    <row r="4" spans="1:9" x14ac:dyDescent="0.25">
      <c r="A4" s="1324" t="str">
        <f>CONCATENATE(ALAPADATOK!D7," ÉVI KÖLTSÉGVETÉS")</f>
        <v>2022. ÉVI KÖLTSÉGVETÉS</v>
      </c>
      <c r="B4" s="1324"/>
      <c r="C4" s="1324"/>
    </row>
    <row r="5" spans="1:9" x14ac:dyDescent="0.25">
      <c r="A5" s="1324" t="s">
        <v>677</v>
      </c>
      <c r="B5" s="1324"/>
      <c r="C5" s="1324"/>
    </row>
    <row r="7" spans="1:9" ht="15.95" customHeight="1" x14ac:dyDescent="0.25">
      <c r="A7" s="1328" t="s">
        <v>13</v>
      </c>
      <c r="B7" s="1328"/>
      <c r="C7" s="1328"/>
    </row>
    <row r="8" spans="1:9" ht="15.95" customHeight="1" thickBot="1" x14ac:dyDescent="0.3">
      <c r="A8" s="1327" t="s">
        <v>114</v>
      </c>
      <c r="B8" s="1327"/>
      <c r="C8" s="119" t="s">
        <v>487</v>
      </c>
    </row>
    <row r="9" spans="1:9" ht="38.1" customHeight="1" thickBot="1" x14ac:dyDescent="0.3">
      <c r="A9" s="20" t="s">
        <v>63</v>
      </c>
      <c r="B9" s="21" t="s">
        <v>15</v>
      </c>
      <c r="C9" s="29" t="s">
        <v>944</v>
      </c>
      <c r="D9" s="167" t="s">
        <v>492</v>
      </c>
      <c r="E9" s="167" t="s">
        <v>493</v>
      </c>
      <c r="F9" s="167" t="s">
        <v>940</v>
      </c>
      <c r="G9" s="167" t="s">
        <v>941</v>
      </c>
      <c r="H9" s="167" t="s">
        <v>942</v>
      </c>
      <c r="I9" s="167" t="s">
        <v>943</v>
      </c>
    </row>
    <row r="10" spans="1:9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9" s="179" customFormat="1" ht="12" customHeight="1" thickBot="1" x14ac:dyDescent="0.25">
      <c r="A11" s="17" t="s">
        <v>16</v>
      </c>
      <c r="B11" s="18" t="s">
        <v>179</v>
      </c>
      <c r="C11" s="110">
        <f t="shared" ref="C11:C75" si="0">SUM(D11:I11)</f>
        <v>1402147796</v>
      </c>
      <c r="D11" s="257">
        <f t="shared" ref="D11:I11" si="1">+D12+D13+D14+D17+D18+D19</f>
        <v>1402147796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" customHeight="1" x14ac:dyDescent="0.2">
      <c r="A12" s="12" t="s">
        <v>85</v>
      </c>
      <c r="B12" s="180" t="s">
        <v>180</v>
      </c>
      <c r="C12" s="275">
        <f t="shared" si="0"/>
        <v>301236891</v>
      </c>
      <c r="D12" s="214">
        <v>301236891</v>
      </c>
      <c r="E12" s="214"/>
      <c r="F12" s="214"/>
      <c r="G12" s="214"/>
      <c r="H12" s="214"/>
      <c r="I12" s="214"/>
    </row>
    <row r="13" spans="1:9" s="179" customFormat="1" ht="12" customHeight="1" x14ac:dyDescent="0.2">
      <c r="A13" s="11" t="s">
        <v>86</v>
      </c>
      <c r="B13" s="181" t="s">
        <v>181</v>
      </c>
      <c r="C13" s="666">
        <f t="shared" si="0"/>
        <v>292268671</v>
      </c>
      <c r="D13" s="114">
        <f>296342550-3287300-387000-399579</f>
        <v>292268671</v>
      </c>
      <c r="E13" s="114"/>
      <c r="F13" s="114"/>
      <c r="G13" s="114"/>
      <c r="H13" s="114"/>
      <c r="I13" s="114"/>
    </row>
    <row r="14" spans="1:9" s="179" customFormat="1" ht="12" customHeight="1" x14ac:dyDescent="0.2">
      <c r="A14" s="11" t="s">
        <v>87</v>
      </c>
      <c r="B14" s="181" t="s">
        <v>719</v>
      </c>
      <c r="C14" s="666">
        <f t="shared" si="0"/>
        <v>674121606</v>
      </c>
      <c r="D14" s="114">
        <f t="shared" ref="D14:I14" si="2">SUM(D15:D16)</f>
        <v>674121606</v>
      </c>
      <c r="E14" s="114">
        <f t="shared" si="2"/>
        <v>0</v>
      </c>
      <c r="F14" s="114">
        <f t="shared" si="2"/>
        <v>0</v>
      </c>
      <c r="G14" s="114">
        <f t="shared" si="2"/>
        <v>0</v>
      </c>
      <c r="H14" s="114">
        <f t="shared" si="2"/>
        <v>0</v>
      </c>
      <c r="I14" s="114">
        <f t="shared" si="2"/>
        <v>0</v>
      </c>
    </row>
    <row r="15" spans="1:9" s="179" customFormat="1" ht="12" customHeight="1" x14ac:dyDescent="0.2">
      <c r="A15" s="11" t="s">
        <v>717</v>
      </c>
      <c r="B15" s="181" t="s">
        <v>720</v>
      </c>
      <c r="C15" s="666">
        <f t="shared" si="0"/>
        <v>368328737</v>
      </c>
      <c r="D15" s="114">
        <f>367216923+853520+9267220-9008926</f>
        <v>368328737</v>
      </c>
      <c r="E15" s="114"/>
      <c r="F15" s="114"/>
      <c r="G15" s="114"/>
      <c r="H15" s="114"/>
      <c r="I15" s="114"/>
    </row>
    <row r="16" spans="1:9" s="179" customFormat="1" ht="12" customHeight="1" x14ac:dyDescent="0.2">
      <c r="A16" s="11" t="s">
        <v>718</v>
      </c>
      <c r="B16" s="181" t="s">
        <v>721</v>
      </c>
      <c r="C16" s="666">
        <f t="shared" si="0"/>
        <v>305792869</v>
      </c>
      <c r="D16" s="114">
        <f>271004659+9943669-3548160+28503770-111069</f>
        <v>305792869</v>
      </c>
      <c r="E16" s="114"/>
      <c r="F16" s="114"/>
      <c r="G16" s="114"/>
      <c r="H16" s="114"/>
      <c r="I16" s="114"/>
    </row>
    <row r="17" spans="1:11" s="179" customFormat="1" ht="12" customHeight="1" x14ac:dyDescent="0.2">
      <c r="A17" s="11" t="s">
        <v>88</v>
      </c>
      <c r="B17" s="181" t="s">
        <v>183</v>
      </c>
      <c r="C17" s="276">
        <f t="shared" si="0"/>
        <v>42342119</v>
      </c>
      <c r="D17" s="114">
        <f>41287119+1055000</f>
        <v>42342119</v>
      </c>
      <c r="E17" s="114"/>
      <c r="F17" s="114"/>
      <c r="G17" s="114"/>
      <c r="H17" s="114"/>
      <c r="I17" s="114"/>
    </row>
    <row r="18" spans="1:11" s="179" customFormat="1" ht="12" customHeight="1" x14ac:dyDescent="0.2">
      <c r="A18" s="11" t="s">
        <v>111</v>
      </c>
      <c r="B18" s="106" t="s">
        <v>388</v>
      </c>
      <c r="C18" s="666">
        <f t="shared" si="0"/>
        <v>83810113</v>
      </c>
      <c r="D18" s="114">
        <f>335081987-13275647-4000000-233996227</f>
        <v>83810113</v>
      </c>
      <c r="E18" s="114"/>
      <c r="F18" s="114"/>
      <c r="G18" s="114"/>
      <c r="H18" s="114"/>
      <c r="I18" s="114"/>
    </row>
    <row r="19" spans="1:11" s="179" customFormat="1" ht="12" customHeight="1" thickBot="1" x14ac:dyDescent="0.25">
      <c r="A19" s="13" t="s">
        <v>89</v>
      </c>
      <c r="B19" s="107" t="s">
        <v>389</v>
      </c>
      <c r="C19" s="669">
        <f t="shared" si="0"/>
        <v>8368396</v>
      </c>
      <c r="D19" s="99">
        <v>8368396</v>
      </c>
      <c r="E19" s="111"/>
      <c r="F19" s="111"/>
      <c r="G19" s="111"/>
      <c r="H19" s="111"/>
      <c r="I19" s="111"/>
    </row>
    <row r="20" spans="1:11" s="179" customFormat="1" ht="12" customHeight="1" thickBot="1" x14ac:dyDescent="0.25">
      <c r="A20" s="17" t="s">
        <v>17</v>
      </c>
      <c r="B20" s="105" t="s">
        <v>184</v>
      </c>
      <c r="C20" s="110">
        <f t="shared" si="0"/>
        <v>218720831</v>
      </c>
      <c r="D20" s="257">
        <f t="shared" ref="D20:I20" si="3">+D21+D22+D23+D24+D25</f>
        <v>218447351</v>
      </c>
      <c r="E20" s="110">
        <f t="shared" si="3"/>
        <v>0</v>
      </c>
      <c r="F20" s="110">
        <f t="shared" si="3"/>
        <v>0</v>
      </c>
      <c r="G20" s="110">
        <f t="shared" si="3"/>
        <v>273480</v>
      </c>
      <c r="H20" s="110">
        <f t="shared" si="3"/>
        <v>0</v>
      </c>
      <c r="I20" s="110">
        <f t="shared" si="3"/>
        <v>0</v>
      </c>
    </row>
    <row r="21" spans="1:11" s="179" customFormat="1" ht="12" customHeight="1" x14ac:dyDescent="0.2">
      <c r="A21" s="12" t="s">
        <v>91</v>
      </c>
      <c r="B21" s="180" t="s">
        <v>185</v>
      </c>
      <c r="C21" s="176">
        <f t="shared" si="0"/>
        <v>0</v>
      </c>
      <c r="D21" s="258"/>
      <c r="E21" s="112"/>
      <c r="F21" s="112"/>
      <c r="G21" s="112"/>
      <c r="H21" s="112"/>
      <c r="I21" s="112"/>
    </row>
    <row r="22" spans="1:11" s="179" customFormat="1" ht="12" customHeight="1" x14ac:dyDescent="0.2">
      <c r="A22" s="11" t="s">
        <v>92</v>
      </c>
      <c r="B22" s="181" t="s">
        <v>186</v>
      </c>
      <c r="C22" s="276">
        <f t="shared" si="0"/>
        <v>0</v>
      </c>
      <c r="D22" s="99"/>
      <c r="E22" s="111"/>
      <c r="F22" s="111"/>
      <c r="G22" s="111"/>
      <c r="H22" s="111"/>
      <c r="I22" s="111"/>
    </row>
    <row r="23" spans="1:11" s="179" customFormat="1" ht="12" customHeight="1" x14ac:dyDescent="0.2">
      <c r="A23" s="11" t="s">
        <v>93</v>
      </c>
      <c r="B23" s="181" t="s">
        <v>352</v>
      </c>
      <c r="C23" s="279">
        <f t="shared" si="0"/>
        <v>0</v>
      </c>
      <c r="D23" s="99"/>
      <c r="E23" s="111"/>
      <c r="F23" s="111"/>
      <c r="G23" s="111"/>
      <c r="H23" s="111"/>
      <c r="I23" s="111"/>
    </row>
    <row r="24" spans="1:11" s="179" customFormat="1" ht="12" customHeight="1" x14ac:dyDescent="0.2">
      <c r="A24" s="11" t="s">
        <v>94</v>
      </c>
      <c r="B24" s="181" t="s">
        <v>353</v>
      </c>
      <c r="C24" s="279">
        <f t="shared" si="0"/>
        <v>0</v>
      </c>
      <c r="D24" s="99"/>
      <c r="E24" s="111"/>
      <c r="F24" s="111"/>
      <c r="G24" s="111"/>
      <c r="H24" s="111"/>
      <c r="I24" s="111"/>
    </row>
    <row r="25" spans="1:11" s="179" customFormat="1" ht="12" customHeight="1" x14ac:dyDescent="0.2">
      <c r="A25" s="11" t="s">
        <v>95</v>
      </c>
      <c r="B25" s="181" t="s">
        <v>187</v>
      </c>
      <c r="C25" s="666">
        <f t="shared" si="0"/>
        <v>218720831</v>
      </c>
      <c r="D25" s="248">
        <f>93565378+17717899+800000+58986182+38972292+3500000+4000000+905600</f>
        <v>218447351</v>
      </c>
      <c r="E25" s="114"/>
      <c r="F25" s="114"/>
      <c r="G25" s="114">
        <v>273480</v>
      </c>
      <c r="H25" s="114"/>
      <c r="I25" s="114"/>
    </row>
    <row r="26" spans="1:11" s="179" customFormat="1" ht="12" customHeight="1" thickBot="1" x14ac:dyDescent="0.25">
      <c r="A26" s="13" t="s">
        <v>104</v>
      </c>
      <c r="B26" s="107" t="s">
        <v>188</v>
      </c>
      <c r="C26" s="669">
        <f t="shared" si="0"/>
        <v>132730457</v>
      </c>
      <c r="D26" s="251">
        <f>56195378+37562787+38972292</f>
        <v>132730457</v>
      </c>
      <c r="E26" s="170"/>
      <c r="F26" s="170"/>
      <c r="G26" s="170"/>
      <c r="H26" s="170"/>
      <c r="I26" s="170"/>
    </row>
    <row r="27" spans="1:11" s="179" customFormat="1" ht="12" customHeight="1" thickBot="1" x14ac:dyDescent="0.25">
      <c r="A27" s="17" t="s">
        <v>18</v>
      </c>
      <c r="B27" s="18" t="s">
        <v>189</v>
      </c>
      <c r="C27" s="110">
        <f t="shared" si="0"/>
        <v>1244714407</v>
      </c>
      <c r="D27" s="257">
        <f t="shared" ref="D27:I27" si="4">+D28+D29+D30+D31+D32</f>
        <v>1244714407</v>
      </c>
      <c r="E27" s="110">
        <f t="shared" si="4"/>
        <v>0</v>
      </c>
      <c r="F27" s="110">
        <f t="shared" si="4"/>
        <v>0</v>
      </c>
      <c r="G27" s="110">
        <f t="shared" si="4"/>
        <v>0</v>
      </c>
      <c r="H27" s="110">
        <f t="shared" si="4"/>
        <v>0</v>
      </c>
      <c r="I27" s="110">
        <f t="shared" si="4"/>
        <v>0</v>
      </c>
    </row>
    <row r="28" spans="1:11" s="179" customFormat="1" ht="12" customHeight="1" x14ac:dyDescent="0.2">
      <c r="A28" s="12" t="s">
        <v>74</v>
      </c>
      <c r="B28" s="180" t="s">
        <v>190</v>
      </c>
      <c r="C28" s="275">
        <f t="shared" si="0"/>
        <v>8384460</v>
      </c>
      <c r="D28" s="677">
        <f>28773000-20388540</f>
        <v>8384460</v>
      </c>
      <c r="E28" s="468"/>
      <c r="F28" s="468"/>
      <c r="G28" s="468"/>
      <c r="H28" s="468"/>
      <c r="I28" s="468"/>
    </row>
    <row r="29" spans="1:11" s="179" customFormat="1" ht="12" customHeight="1" x14ac:dyDescent="0.2">
      <c r="A29" s="11" t="s">
        <v>75</v>
      </c>
      <c r="B29" s="181" t="s">
        <v>191</v>
      </c>
      <c r="C29" s="276">
        <f t="shared" si="0"/>
        <v>0</v>
      </c>
      <c r="D29" s="248"/>
      <c r="E29" s="114"/>
      <c r="F29" s="114"/>
      <c r="G29" s="114"/>
      <c r="H29" s="114"/>
      <c r="I29" s="114"/>
    </row>
    <row r="30" spans="1:11" s="179" customFormat="1" ht="12" customHeight="1" x14ac:dyDescent="0.2">
      <c r="A30" s="11" t="s">
        <v>76</v>
      </c>
      <c r="B30" s="181" t="s">
        <v>354</v>
      </c>
      <c r="C30" s="276">
        <f t="shared" si="0"/>
        <v>0</v>
      </c>
      <c r="D30" s="248"/>
      <c r="E30" s="114"/>
      <c r="F30" s="114"/>
      <c r="G30" s="114"/>
      <c r="H30" s="114"/>
      <c r="I30" s="114"/>
      <c r="K30" s="736"/>
    </row>
    <row r="31" spans="1:11" s="179" customFormat="1" ht="12" customHeight="1" x14ac:dyDescent="0.2">
      <c r="A31" s="11" t="s">
        <v>77</v>
      </c>
      <c r="B31" s="181" t="s">
        <v>355</v>
      </c>
      <c r="C31" s="276">
        <f t="shared" si="0"/>
        <v>0</v>
      </c>
      <c r="D31" s="248"/>
      <c r="E31" s="114"/>
      <c r="F31" s="114"/>
      <c r="G31" s="114"/>
      <c r="H31" s="114"/>
      <c r="I31" s="114"/>
    </row>
    <row r="32" spans="1:11" s="179" customFormat="1" ht="12" customHeight="1" x14ac:dyDescent="0.2">
      <c r="A32" s="11" t="s">
        <v>122</v>
      </c>
      <c r="B32" s="181" t="s">
        <v>192</v>
      </c>
      <c r="C32" s="276">
        <f t="shared" si="0"/>
        <v>1236329947</v>
      </c>
      <c r="D32" s="248">
        <f>242049642+137436248+780000830+106305+76736922</f>
        <v>1236329947</v>
      </c>
      <c r="E32" s="114"/>
      <c r="F32" s="114"/>
      <c r="G32" s="114"/>
      <c r="H32" s="114"/>
      <c r="I32" s="114"/>
    </row>
    <row r="33" spans="1:9" s="179" customFormat="1" ht="12" customHeight="1" thickBot="1" x14ac:dyDescent="0.25">
      <c r="A33" s="13" t="s">
        <v>123</v>
      </c>
      <c r="B33" s="182" t="s">
        <v>193</v>
      </c>
      <c r="C33" s="669">
        <f t="shared" si="0"/>
        <v>1236223642</v>
      </c>
      <c r="D33" s="251">
        <f>242049642+137436248+780000830+76736922</f>
        <v>1236223642</v>
      </c>
      <c r="E33" s="170"/>
      <c r="F33" s="170"/>
      <c r="G33" s="170"/>
      <c r="H33" s="170"/>
      <c r="I33" s="170"/>
    </row>
    <row r="34" spans="1:9" s="179" customFormat="1" ht="12" customHeight="1" thickBot="1" x14ac:dyDescent="0.25">
      <c r="A34" s="17" t="s">
        <v>124</v>
      </c>
      <c r="B34" s="18" t="s">
        <v>194</v>
      </c>
      <c r="C34" s="110">
        <f t="shared" si="0"/>
        <v>474994000</v>
      </c>
      <c r="D34" s="259">
        <f t="shared" ref="D34:I34" si="5">+D35++D39+D40</f>
        <v>474994000</v>
      </c>
      <c r="E34" s="259">
        <f t="shared" si="5"/>
        <v>0</v>
      </c>
      <c r="F34" s="259">
        <f t="shared" si="5"/>
        <v>0</v>
      </c>
      <c r="G34" s="259">
        <f t="shared" si="5"/>
        <v>0</v>
      </c>
      <c r="H34" s="259">
        <f t="shared" si="5"/>
        <v>0</v>
      </c>
      <c r="I34" s="259">
        <f t="shared" si="5"/>
        <v>0</v>
      </c>
    </row>
    <row r="35" spans="1:9" s="179" customFormat="1" ht="12" customHeight="1" x14ac:dyDescent="0.2">
      <c r="A35" s="12" t="s">
        <v>195</v>
      </c>
      <c r="B35" s="180" t="s">
        <v>562</v>
      </c>
      <c r="C35" s="176">
        <f t="shared" si="0"/>
        <v>459602000</v>
      </c>
      <c r="D35" s="271">
        <f t="shared" ref="D35:I35" si="6">SUM(D36:D37)</f>
        <v>459602000</v>
      </c>
      <c r="E35" s="271">
        <f t="shared" si="6"/>
        <v>0</v>
      </c>
      <c r="F35" s="271">
        <f t="shared" si="6"/>
        <v>0</v>
      </c>
      <c r="G35" s="271">
        <f t="shared" si="6"/>
        <v>0</v>
      </c>
      <c r="H35" s="271">
        <f t="shared" si="6"/>
        <v>0</v>
      </c>
      <c r="I35" s="271">
        <f t="shared" si="6"/>
        <v>0</v>
      </c>
    </row>
    <row r="36" spans="1:9" s="179" customFormat="1" ht="12" customHeight="1" x14ac:dyDescent="0.2">
      <c r="A36" s="11" t="s">
        <v>196</v>
      </c>
      <c r="B36" s="181" t="s">
        <v>201</v>
      </c>
      <c r="C36" s="276">
        <f t="shared" si="0"/>
        <v>90500000</v>
      </c>
      <c r="D36" s="99">
        <f>85000000+5500000</f>
        <v>90500000</v>
      </c>
      <c r="E36" s="111"/>
      <c r="F36" s="111"/>
      <c r="G36" s="111"/>
      <c r="H36" s="111"/>
      <c r="I36" s="111"/>
    </row>
    <row r="37" spans="1:9" s="179" customFormat="1" ht="12" customHeight="1" x14ac:dyDescent="0.2">
      <c r="A37" s="11" t="s">
        <v>197</v>
      </c>
      <c r="B37" s="234" t="s">
        <v>561</v>
      </c>
      <c r="C37" s="666">
        <f t="shared" si="0"/>
        <v>369102000</v>
      </c>
      <c r="D37" s="99">
        <f>286055000+50000000+33047000</f>
        <v>369102000</v>
      </c>
      <c r="E37" s="111"/>
      <c r="F37" s="111"/>
      <c r="G37" s="111"/>
      <c r="H37" s="111"/>
      <c r="I37" s="111"/>
    </row>
    <row r="38" spans="1:9" s="179" customFormat="1" ht="12" customHeight="1" x14ac:dyDescent="0.2">
      <c r="A38" s="11" t="s">
        <v>198</v>
      </c>
      <c r="B38" s="181" t="s">
        <v>472</v>
      </c>
      <c r="C38" s="276">
        <f t="shared" si="0"/>
        <v>0</v>
      </c>
      <c r="D38" s="248"/>
      <c r="E38" s="114"/>
      <c r="F38" s="114"/>
      <c r="G38" s="114"/>
      <c r="H38" s="114"/>
      <c r="I38" s="114"/>
    </row>
    <row r="39" spans="1:9" s="179" customFormat="1" ht="12" customHeight="1" x14ac:dyDescent="0.2">
      <c r="A39" s="11" t="s">
        <v>200</v>
      </c>
      <c r="B39" s="181" t="s">
        <v>203</v>
      </c>
      <c r="C39" s="666">
        <f t="shared" si="0"/>
        <v>592000</v>
      </c>
      <c r="D39" s="99">
        <v>592000</v>
      </c>
      <c r="E39" s="111"/>
      <c r="F39" s="111"/>
      <c r="G39" s="111"/>
      <c r="H39" s="111"/>
      <c r="I39" s="111"/>
    </row>
    <row r="40" spans="1:9" s="179" customFormat="1" ht="12" customHeight="1" thickBot="1" x14ac:dyDescent="0.25">
      <c r="A40" s="13" t="s">
        <v>474</v>
      </c>
      <c r="B40" s="182" t="s">
        <v>204</v>
      </c>
      <c r="C40" s="280">
        <f t="shared" si="0"/>
        <v>14800000</v>
      </c>
      <c r="D40" s="251">
        <v>14800000</v>
      </c>
      <c r="E40" s="170"/>
      <c r="F40" s="170"/>
      <c r="G40" s="170"/>
      <c r="H40" s="170"/>
      <c r="I40" s="170"/>
    </row>
    <row r="41" spans="1:9" s="179" customFormat="1" ht="12" customHeight="1" thickBot="1" x14ac:dyDescent="0.25">
      <c r="A41" s="17" t="s">
        <v>20</v>
      </c>
      <c r="B41" s="18" t="s">
        <v>390</v>
      </c>
      <c r="C41" s="110">
        <f t="shared" si="0"/>
        <v>149223007</v>
      </c>
      <c r="D41" s="257">
        <f t="shared" ref="D41:I41" si="7">SUM(D42:D52)</f>
        <v>56746959</v>
      </c>
      <c r="E41" s="110">
        <f t="shared" si="7"/>
        <v>52900387</v>
      </c>
      <c r="F41" s="110">
        <f t="shared" si="7"/>
        <v>12717238</v>
      </c>
      <c r="G41" s="110">
        <f t="shared" si="7"/>
        <v>12169400</v>
      </c>
      <c r="H41" s="110">
        <f t="shared" si="7"/>
        <v>1259535</v>
      </c>
      <c r="I41" s="110">
        <f t="shared" si="7"/>
        <v>13429488</v>
      </c>
    </row>
    <row r="42" spans="1:9" s="179" customFormat="1" ht="12" customHeight="1" x14ac:dyDescent="0.2">
      <c r="A42" s="12" t="s">
        <v>78</v>
      </c>
      <c r="B42" s="180" t="s">
        <v>207</v>
      </c>
      <c r="C42" s="176">
        <f t="shared" si="0"/>
        <v>0</v>
      </c>
      <c r="D42" s="677"/>
      <c r="E42" s="214"/>
      <c r="F42" s="214"/>
      <c r="G42" s="214"/>
      <c r="H42" s="214"/>
      <c r="I42" s="214"/>
    </row>
    <row r="43" spans="1:9" s="179" customFormat="1" ht="12" customHeight="1" x14ac:dyDescent="0.2">
      <c r="A43" s="11" t="s">
        <v>79</v>
      </c>
      <c r="B43" s="181" t="s">
        <v>208</v>
      </c>
      <c r="C43" s="276">
        <f t="shared" si="0"/>
        <v>45382810</v>
      </c>
      <c r="D43" s="248">
        <f>11700000+800000+878410</f>
        <v>13378410</v>
      </c>
      <c r="E43" s="114">
        <f>2000000+400000+8400000</f>
        <v>10800000</v>
      </c>
      <c r="F43" s="214">
        <v>600000</v>
      </c>
      <c r="G43" s="214">
        <v>10180000</v>
      </c>
      <c r="H43" s="214"/>
      <c r="I43" s="214">
        <v>10424400</v>
      </c>
    </row>
    <row r="44" spans="1:9" s="179" customFormat="1" ht="12" customHeight="1" x14ac:dyDescent="0.2">
      <c r="A44" s="11" t="s">
        <v>80</v>
      </c>
      <c r="B44" s="181" t="s">
        <v>209</v>
      </c>
      <c r="C44" s="276">
        <f t="shared" si="0"/>
        <v>32134427</v>
      </c>
      <c r="D44" s="248">
        <f>13152488+250000+4500000+3000000</f>
        <v>20902488</v>
      </c>
      <c r="E44" s="114">
        <f>4004339+600000+357600</f>
        <v>4961939</v>
      </c>
      <c r="F44" s="214">
        <v>6080000</v>
      </c>
      <c r="G44" s="214">
        <v>40000</v>
      </c>
      <c r="H44" s="214"/>
      <c r="I44" s="214">
        <v>150000</v>
      </c>
    </row>
    <row r="45" spans="1:9" s="179" customFormat="1" ht="12" customHeight="1" x14ac:dyDescent="0.2">
      <c r="A45" s="11" t="s">
        <v>126</v>
      </c>
      <c r="B45" s="181" t="s">
        <v>210</v>
      </c>
      <c r="C45" s="276">
        <f t="shared" si="0"/>
        <v>9500000</v>
      </c>
      <c r="D45" s="248">
        <v>9500000</v>
      </c>
      <c r="E45" s="114"/>
      <c r="F45" s="214"/>
      <c r="G45" s="214"/>
      <c r="H45" s="214"/>
      <c r="I45" s="214"/>
    </row>
    <row r="46" spans="1:9" s="179" customFormat="1" ht="12" customHeight="1" x14ac:dyDescent="0.2">
      <c r="A46" s="11" t="s">
        <v>127</v>
      </c>
      <c r="B46" s="181" t="s">
        <v>211</v>
      </c>
      <c r="C46" s="276">
        <f t="shared" si="0"/>
        <v>22799599</v>
      </c>
      <c r="D46" s="248"/>
      <c r="E46" s="114">
        <f>18214365</f>
        <v>18214365</v>
      </c>
      <c r="F46" s="214">
        <v>3325699</v>
      </c>
      <c r="G46" s="214"/>
      <c r="H46" s="214">
        <v>1259535</v>
      </c>
      <c r="I46" s="214"/>
    </row>
    <row r="47" spans="1:9" s="179" customFormat="1" ht="12" customHeight="1" x14ac:dyDescent="0.2">
      <c r="A47" s="11" t="s">
        <v>128</v>
      </c>
      <c r="B47" s="181" t="s">
        <v>212</v>
      </c>
      <c r="C47" s="276">
        <f t="shared" si="0"/>
        <v>24546073</v>
      </c>
      <c r="D47" s="248">
        <f>8027280+283500+1215000+810000</f>
        <v>10335780</v>
      </c>
      <c r="E47" s="114">
        <f>1621172+108000+4917878+57216</f>
        <v>6704266</v>
      </c>
      <c r="F47" s="214">
        <v>2701539</v>
      </c>
      <c r="G47" s="214">
        <v>1949400</v>
      </c>
      <c r="H47" s="214"/>
      <c r="I47" s="214">
        <v>2855088</v>
      </c>
    </row>
    <row r="48" spans="1:9" s="179" customFormat="1" ht="12" customHeight="1" x14ac:dyDescent="0.2">
      <c r="A48" s="11" t="s">
        <v>129</v>
      </c>
      <c r="B48" s="181" t="s">
        <v>213</v>
      </c>
      <c r="C48" s="279">
        <f t="shared" si="0"/>
        <v>12219817</v>
      </c>
      <c r="D48" s="248"/>
      <c r="E48" s="114">
        <f>12219817</f>
        <v>12219817</v>
      </c>
      <c r="F48" s="214"/>
      <c r="G48" s="214"/>
      <c r="H48" s="214"/>
      <c r="I48" s="214"/>
    </row>
    <row r="49" spans="1:9" s="179" customFormat="1" ht="12" customHeight="1" x14ac:dyDescent="0.2">
      <c r="A49" s="11" t="s">
        <v>130</v>
      </c>
      <c r="B49" s="181" t="s">
        <v>478</v>
      </c>
      <c r="C49" s="279">
        <f t="shared" si="0"/>
        <v>0</v>
      </c>
      <c r="D49" s="248"/>
      <c r="E49" s="114"/>
      <c r="F49" s="214"/>
      <c r="G49" s="214"/>
      <c r="H49" s="214"/>
      <c r="I49" s="214"/>
    </row>
    <row r="50" spans="1:9" s="179" customFormat="1" ht="12" customHeight="1" x14ac:dyDescent="0.2">
      <c r="A50" s="11" t="s">
        <v>205</v>
      </c>
      <c r="B50" s="181" t="s">
        <v>215</v>
      </c>
      <c r="C50" s="279">
        <f t="shared" si="0"/>
        <v>0</v>
      </c>
      <c r="D50" s="248"/>
      <c r="E50" s="114"/>
      <c r="F50" s="214"/>
      <c r="G50" s="214"/>
      <c r="H50" s="214"/>
      <c r="I50" s="214"/>
    </row>
    <row r="51" spans="1:9" s="179" customFormat="1" ht="12" customHeight="1" x14ac:dyDescent="0.2">
      <c r="A51" s="13" t="s">
        <v>206</v>
      </c>
      <c r="B51" s="182" t="s">
        <v>391</v>
      </c>
      <c r="C51" s="666">
        <f t="shared" si="0"/>
        <v>1622680</v>
      </c>
      <c r="D51" s="251">
        <v>1622680</v>
      </c>
      <c r="E51" s="170"/>
      <c r="F51" s="214"/>
      <c r="G51" s="214"/>
      <c r="H51" s="214"/>
      <c r="I51" s="214"/>
    </row>
    <row r="52" spans="1:9" s="179" customFormat="1" ht="12" customHeight="1" thickBot="1" x14ac:dyDescent="0.25">
      <c r="A52" s="13" t="s">
        <v>392</v>
      </c>
      <c r="B52" s="107" t="s">
        <v>216</v>
      </c>
      <c r="C52" s="669">
        <f t="shared" si="0"/>
        <v>1017601</v>
      </c>
      <c r="D52" s="251">
        <v>1007601</v>
      </c>
      <c r="E52" s="170"/>
      <c r="F52" s="214">
        <v>10000</v>
      </c>
      <c r="G52" s="214"/>
      <c r="H52" s="214"/>
      <c r="I52" s="214"/>
    </row>
    <row r="53" spans="1:9" s="179" customFormat="1" ht="12" customHeight="1" thickBot="1" x14ac:dyDescent="0.25">
      <c r="A53" s="17" t="s">
        <v>21</v>
      </c>
      <c r="B53" s="18" t="s">
        <v>217</v>
      </c>
      <c r="C53" s="110">
        <f t="shared" si="0"/>
        <v>48000000</v>
      </c>
      <c r="D53" s="257">
        <f t="shared" ref="D53:I53" si="8">SUM(D54:D58)</f>
        <v>48000000</v>
      </c>
      <c r="E53" s="110">
        <f t="shared" si="8"/>
        <v>0</v>
      </c>
      <c r="F53" s="110">
        <f t="shared" si="8"/>
        <v>0</v>
      </c>
      <c r="G53" s="110">
        <f t="shared" si="8"/>
        <v>0</v>
      </c>
      <c r="H53" s="110">
        <f t="shared" si="8"/>
        <v>0</v>
      </c>
      <c r="I53" s="110">
        <f t="shared" si="8"/>
        <v>0</v>
      </c>
    </row>
    <row r="54" spans="1:9" s="179" customFormat="1" ht="12" customHeight="1" x14ac:dyDescent="0.2">
      <c r="A54" s="12" t="s">
        <v>81</v>
      </c>
      <c r="B54" s="180" t="s">
        <v>221</v>
      </c>
      <c r="C54" s="176">
        <f t="shared" si="0"/>
        <v>0</v>
      </c>
      <c r="D54" s="677"/>
      <c r="E54" s="214"/>
      <c r="F54" s="214"/>
      <c r="G54" s="214"/>
      <c r="H54" s="214"/>
      <c r="I54" s="214"/>
    </row>
    <row r="55" spans="1:9" s="179" customFormat="1" ht="12" customHeight="1" x14ac:dyDescent="0.2">
      <c r="A55" s="11" t="s">
        <v>82</v>
      </c>
      <c r="B55" s="181" t="s">
        <v>222</v>
      </c>
      <c r="C55" s="279">
        <f>SUM(D55:I55)</f>
        <v>48000000</v>
      </c>
      <c r="D55" s="248">
        <v>48000000</v>
      </c>
      <c r="E55" s="114"/>
      <c r="F55" s="114"/>
      <c r="G55" s="114"/>
      <c r="H55" s="114"/>
      <c r="I55" s="114"/>
    </row>
    <row r="56" spans="1:9" s="179" customFormat="1" ht="12" customHeight="1" x14ac:dyDescent="0.2">
      <c r="A56" s="11" t="s">
        <v>218</v>
      </c>
      <c r="B56" s="181" t="s">
        <v>223</v>
      </c>
      <c r="C56" s="279">
        <f t="shared" si="0"/>
        <v>0</v>
      </c>
      <c r="D56" s="248"/>
      <c r="E56" s="114"/>
      <c r="F56" s="114"/>
      <c r="G56" s="114"/>
      <c r="H56" s="114"/>
      <c r="I56" s="114"/>
    </row>
    <row r="57" spans="1:9" s="179" customFormat="1" ht="12" customHeight="1" x14ac:dyDescent="0.2">
      <c r="A57" s="11" t="s">
        <v>219</v>
      </c>
      <c r="B57" s="181" t="s">
        <v>224</v>
      </c>
      <c r="C57" s="279">
        <f t="shared" si="0"/>
        <v>0</v>
      </c>
      <c r="D57" s="248"/>
      <c r="E57" s="114"/>
      <c r="F57" s="114"/>
      <c r="G57" s="114"/>
      <c r="H57" s="114"/>
      <c r="I57" s="114"/>
    </row>
    <row r="58" spans="1:9" s="179" customFormat="1" ht="12" customHeight="1" thickBot="1" x14ac:dyDescent="0.25">
      <c r="A58" s="13" t="s">
        <v>220</v>
      </c>
      <c r="B58" s="107" t="s">
        <v>225</v>
      </c>
      <c r="C58" s="280">
        <f t="shared" si="0"/>
        <v>0</v>
      </c>
      <c r="D58" s="251"/>
      <c r="E58" s="170"/>
      <c r="F58" s="170"/>
      <c r="G58" s="170"/>
      <c r="H58" s="170"/>
      <c r="I58" s="170"/>
    </row>
    <row r="59" spans="1:9" s="179" customFormat="1" ht="12" customHeight="1" thickBot="1" x14ac:dyDescent="0.25">
      <c r="A59" s="17" t="s">
        <v>131</v>
      </c>
      <c r="B59" s="18" t="s">
        <v>226</v>
      </c>
      <c r="C59" s="110">
        <f t="shared" si="0"/>
        <v>3293987</v>
      </c>
      <c r="D59" s="257">
        <f t="shared" ref="D59:I59" si="9">SUM(D60:D62)</f>
        <v>3293987</v>
      </c>
      <c r="E59" s="110">
        <f t="shared" si="9"/>
        <v>0</v>
      </c>
      <c r="F59" s="110">
        <f t="shared" si="9"/>
        <v>0</v>
      </c>
      <c r="G59" s="110">
        <f t="shared" si="9"/>
        <v>0</v>
      </c>
      <c r="H59" s="110">
        <f t="shared" si="9"/>
        <v>0</v>
      </c>
      <c r="I59" s="110">
        <f t="shared" si="9"/>
        <v>0</v>
      </c>
    </row>
    <row r="60" spans="1:9" s="179" customFormat="1" ht="12" customHeight="1" x14ac:dyDescent="0.2">
      <c r="A60" s="12" t="s">
        <v>83</v>
      </c>
      <c r="B60" s="180" t="s">
        <v>227</v>
      </c>
      <c r="C60" s="275">
        <f t="shared" si="0"/>
        <v>1000000</v>
      </c>
      <c r="D60" s="258">
        <v>1000000</v>
      </c>
      <c r="E60" s="112"/>
      <c r="F60" s="112"/>
      <c r="G60" s="112"/>
      <c r="H60" s="112"/>
      <c r="I60" s="112"/>
    </row>
    <row r="61" spans="1:9" s="179" customFormat="1" ht="12" customHeight="1" x14ac:dyDescent="0.2">
      <c r="A61" s="11" t="s">
        <v>84</v>
      </c>
      <c r="B61" s="181" t="s">
        <v>356</v>
      </c>
      <c r="C61" s="276">
        <f t="shared" si="0"/>
        <v>0</v>
      </c>
      <c r="D61" s="248"/>
      <c r="E61" s="114"/>
      <c r="F61" s="114"/>
      <c r="G61" s="114"/>
      <c r="H61" s="114"/>
      <c r="I61" s="114"/>
    </row>
    <row r="62" spans="1:9" s="179" customFormat="1" ht="12" customHeight="1" x14ac:dyDescent="0.2">
      <c r="A62" s="11" t="s">
        <v>230</v>
      </c>
      <c r="B62" s="181" t="s">
        <v>228</v>
      </c>
      <c r="C62" s="666">
        <f t="shared" si="0"/>
        <v>2293987</v>
      </c>
      <c r="D62" s="248">
        <f>1858000+435987</f>
        <v>2293987</v>
      </c>
      <c r="E62" s="114"/>
      <c r="F62" s="114"/>
      <c r="G62" s="114"/>
      <c r="H62" s="114"/>
      <c r="I62" s="114"/>
    </row>
    <row r="63" spans="1:9" s="179" customFormat="1" ht="12" customHeight="1" thickBot="1" x14ac:dyDescent="0.25">
      <c r="A63" s="13" t="s">
        <v>231</v>
      </c>
      <c r="B63" s="107" t="s">
        <v>229</v>
      </c>
      <c r="C63" s="669">
        <f t="shared" si="0"/>
        <v>0</v>
      </c>
      <c r="D63" s="100"/>
      <c r="E63" s="113"/>
      <c r="F63" s="113"/>
      <c r="G63" s="113"/>
      <c r="H63" s="113"/>
      <c r="I63" s="113"/>
    </row>
    <row r="64" spans="1:9" s="179" customFormat="1" ht="12" customHeight="1" thickBot="1" x14ac:dyDescent="0.25">
      <c r="A64" s="17" t="s">
        <v>23</v>
      </c>
      <c r="B64" s="105" t="s">
        <v>232</v>
      </c>
      <c r="C64" s="281">
        <f t="shared" si="0"/>
        <v>12020788</v>
      </c>
      <c r="D64" s="257">
        <f t="shared" ref="D64:I64" si="10">SUM(D65:D67)</f>
        <v>12020788</v>
      </c>
      <c r="E64" s="110">
        <f t="shared" si="10"/>
        <v>0</v>
      </c>
      <c r="F64" s="110">
        <f t="shared" si="10"/>
        <v>0</v>
      </c>
      <c r="G64" s="110">
        <f t="shared" si="10"/>
        <v>0</v>
      </c>
      <c r="H64" s="110">
        <f t="shared" si="10"/>
        <v>0</v>
      </c>
      <c r="I64" s="110">
        <f t="shared" si="10"/>
        <v>0</v>
      </c>
    </row>
    <row r="65" spans="1:9" s="179" customFormat="1" ht="12" customHeight="1" x14ac:dyDescent="0.2">
      <c r="A65" s="12" t="s">
        <v>132</v>
      </c>
      <c r="B65" s="180" t="s">
        <v>234</v>
      </c>
      <c r="C65" s="176">
        <f t="shared" si="0"/>
        <v>0</v>
      </c>
      <c r="D65" s="248"/>
      <c r="E65" s="114"/>
      <c r="F65" s="114"/>
      <c r="G65" s="114"/>
      <c r="H65" s="114"/>
      <c r="I65" s="114"/>
    </row>
    <row r="66" spans="1:9" s="179" customFormat="1" ht="12" customHeight="1" x14ac:dyDescent="0.2">
      <c r="A66" s="11" t="s">
        <v>133</v>
      </c>
      <c r="B66" s="181" t="s">
        <v>357</v>
      </c>
      <c r="C66" s="279">
        <f t="shared" si="0"/>
        <v>0</v>
      </c>
      <c r="D66" s="248"/>
      <c r="E66" s="114"/>
      <c r="F66" s="114"/>
      <c r="G66" s="114"/>
      <c r="H66" s="114"/>
      <c r="I66" s="114"/>
    </row>
    <row r="67" spans="1:9" s="179" customFormat="1" ht="12" customHeight="1" x14ac:dyDescent="0.2">
      <c r="A67" s="11" t="s">
        <v>158</v>
      </c>
      <c r="B67" s="181" t="s">
        <v>235</v>
      </c>
      <c r="C67" s="666">
        <f t="shared" si="0"/>
        <v>12020788</v>
      </c>
      <c r="D67" s="248">
        <f>12020788</f>
        <v>12020788</v>
      </c>
      <c r="E67" s="114"/>
      <c r="F67" s="114"/>
      <c r="G67" s="114"/>
      <c r="H67" s="114"/>
      <c r="I67" s="114"/>
    </row>
    <row r="68" spans="1:9" s="179" customFormat="1" ht="12" customHeight="1" thickBot="1" x14ac:dyDescent="0.25">
      <c r="A68" s="13" t="s">
        <v>233</v>
      </c>
      <c r="B68" s="107" t="s">
        <v>236</v>
      </c>
      <c r="C68" s="280">
        <f t="shared" si="0"/>
        <v>0</v>
      </c>
      <c r="D68" s="248"/>
      <c r="E68" s="114"/>
      <c r="F68" s="114"/>
      <c r="G68" s="114"/>
      <c r="H68" s="114"/>
      <c r="I68" s="114"/>
    </row>
    <row r="69" spans="1:9" s="179" customFormat="1" ht="12" customHeight="1" thickBot="1" x14ac:dyDescent="0.25">
      <c r="A69" s="235" t="s">
        <v>393</v>
      </c>
      <c r="B69" s="18" t="s">
        <v>237</v>
      </c>
      <c r="C69" s="110">
        <f t="shared" si="0"/>
        <v>3553114816</v>
      </c>
      <c r="D69" s="259">
        <f t="shared" ref="D69:I69" si="11">+D11+D20+D27+D34+D41+D53+D59+D64</f>
        <v>3460365288</v>
      </c>
      <c r="E69" s="115">
        <f t="shared" si="11"/>
        <v>52900387</v>
      </c>
      <c r="F69" s="115">
        <f t="shared" si="11"/>
        <v>12717238</v>
      </c>
      <c r="G69" s="115">
        <f t="shared" si="11"/>
        <v>12442880</v>
      </c>
      <c r="H69" s="115">
        <f t="shared" si="11"/>
        <v>1259535</v>
      </c>
      <c r="I69" s="115">
        <f t="shared" si="11"/>
        <v>13429488</v>
      </c>
    </row>
    <row r="70" spans="1:9" s="179" customFormat="1" ht="12" customHeight="1" thickBot="1" x14ac:dyDescent="0.25">
      <c r="A70" s="236" t="s">
        <v>238</v>
      </c>
      <c r="B70" s="105" t="s">
        <v>239</v>
      </c>
      <c r="C70" s="281">
        <f t="shared" si="0"/>
        <v>1217733250</v>
      </c>
      <c r="D70" s="257">
        <f t="shared" ref="D70:I70" si="12">SUM(D71:D73)</f>
        <v>1217733250</v>
      </c>
      <c r="E70" s="110">
        <f t="shared" si="12"/>
        <v>0</v>
      </c>
      <c r="F70" s="110">
        <f t="shared" si="12"/>
        <v>0</v>
      </c>
      <c r="G70" s="110">
        <f t="shared" si="12"/>
        <v>0</v>
      </c>
      <c r="H70" s="110">
        <f t="shared" si="12"/>
        <v>0</v>
      </c>
      <c r="I70" s="110">
        <f t="shared" si="12"/>
        <v>0</v>
      </c>
    </row>
    <row r="71" spans="1:9" s="179" customFormat="1" ht="12" customHeight="1" x14ac:dyDescent="0.2">
      <c r="A71" s="12" t="s">
        <v>270</v>
      </c>
      <c r="B71" s="180" t="s">
        <v>240</v>
      </c>
      <c r="C71" s="275">
        <f t="shared" si="0"/>
        <v>167733250</v>
      </c>
      <c r="D71" s="248">
        <f>187733250-20000000</f>
        <v>167733250</v>
      </c>
      <c r="E71" s="114"/>
      <c r="F71" s="114"/>
      <c r="G71" s="114"/>
      <c r="H71" s="114"/>
      <c r="I71" s="114"/>
    </row>
    <row r="72" spans="1:9" s="179" customFormat="1" ht="12" customHeight="1" x14ac:dyDescent="0.2">
      <c r="A72" s="11" t="s">
        <v>279</v>
      </c>
      <c r="B72" s="181" t="s">
        <v>241</v>
      </c>
      <c r="C72" s="276">
        <f t="shared" si="0"/>
        <v>1050000000</v>
      </c>
      <c r="D72" s="248">
        <f>1000000000+50000000</f>
        <v>1050000000</v>
      </c>
      <c r="E72" s="114"/>
      <c r="F72" s="114"/>
      <c r="G72" s="114"/>
      <c r="H72" s="114"/>
      <c r="I72" s="114"/>
    </row>
    <row r="73" spans="1:9" s="179" customFormat="1" ht="12" customHeight="1" thickBot="1" x14ac:dyDescent="0.25">
      <c r="A73" s="13" t="s">
        <v>280</v>
      </c>
      <c r="B73" s="237" t="s">
        <v>394</v>
      </c>
      <c r="C73" s="280">
        <f t="shared" si="0"/>
        <v>0</v>
      </c>
      <c r="D73" s="248"/>
      <c r="E73" s="114"/>
      <c r="F73" s="114"/>
      <c r="G73" s="114"/>
      <c r="H73" s="114"/>
      <c r="I73" s="114"/>
    </row>
    <row r="74" spans="1:9" s="179" customFormat="1" ht="12" customHeight="1" thickBot="1" x14ac:dyDescent="0.25">
      <c r="A74" s="236" t="s">
        <v>243</v>
      </c>
      <c r="B74" s="105" t="s">
        <v>244</v>
      </c>
      <c r="C74" s="281">
        <f t="shared" si="0"/>
        <v>0</v>
      </c>
      <c r="D74" s="257">
        <f t="shared" ref="D74:I74" si="13">SUM(D75:D78)</f>
        <v>0</v>
      </c>
      <c r="E74" s="110">
        <f t="shared" si="13"/>
        <v>0</v>
      </c>
      <c r="F74" s="110">
        <f t="shared" si="13"/>
        <v>0</v>
      </c>
      <c r="G74" s="110">
        <f t="shared" si="13"/>
        <v>0</v>
      </c>
      <c r="H74" s="110">
        <f t="shared" si="13"/>
        <v>0</v>
      </c>
      <c r="I74" s="110">
        <f t="shared" si="13"/>
        <v>0</v>
      </c>
    </row>
    <row r="75" spans="1:9" s="179" customFormat="1" ht="12" customHeight="1" x14ac:dyDescent="0.2">
      <c r="A75" s="12" t="s">
        <v>112</v>
      </c>
      <c r="B75" s="180" t="s">
        <v>245</v>
      </c>
      <c r="C75" s="176">
        <f t="shared" si="0"/>
        <v>0</v>
      </c>
      <c r="D75" s="248"/>
      <c r="E75" s="114"/>
      <c r="F75" s="114"/>
      <c r="G75" s="114"/>
      <c r="H75" s="114"/>
      <c r="I75" s="114"/>
    </row>
    <row r="76" spans="1:9" s="179" customFormat="1" ht="12" customHeight="1" x14ac:dyDescent="0.2">
      <c r="A76" s="11" t="s">
        <v>113</v>
      </c>
      <c r="B76" s="181" t="s">
        <v>745</v>
      </c>
      <c r="C76" s="279">
        <f t="shared" ref="C76:C94" si="14">SUM(D76:I76)</f>
        <v>0</v>
      </c>
      <c r="D76" s="248"/>
      <c r="E76" s="114"/>
      <c r="F76" s="114"/>
      <c r="G76" s="114"/>
      <c r="H76" s="114"/>
      <c r="I76" s="114"/>
    </row>
    <row r="77" spans="1:9" s="179" customFormat="1" ht="12" customHeight="1" x14ac:dyDescent="0.2">
      <c r="A77" s="11" t="s">
        <v>271</v>
      </c>
      <c r="B77" s="181" t="s">
        <v>247</v>
      </c>
      <c r="C77" s="279">
        <f t="shared" si="14"/>
        <v>0</v>
      </c>
      <c r="D77" s="248"/>
      <c r="E77" s="114"/>
      <c r="F77" s="114"/>
      <c r="G77" s="114"/>
      <c r="H77" s="114"/>
      <c r="I77" s="114"/>
    </row>
    <row r="78" spans="1:9" s="179" customFormat="1" ht="12" customHeight="1" thickBot="1" x14ac:dyDescent="0.25">
      <c r="A78" s="13" t="s">
        <v>272</v>
      </c>
      <c r="B78" s="107" t="s">
        <v>746</v>
      </c>
      <c r="C78" s="280">
        <f t="shared" si="14"/>
        <v>0</v>
      </c>
      <c r="D78" s="248"/>
      <c r="E78" s="114"/>
      <c r="F78" s="114"/>
      <c r="G78" s="114"/>
      <c r="H78" s="114"/>
      <c r="I78" s="114"/>
    </row>
    <row r="79" spans="1:9" s="179" customFormat="1" ht="12" customHeight="1" thickBot="1" x14ac:dyDescent="0.25">
      <c r="A79" s="236" t="s">
        <v>249</v>
      </c>
      <c r="B79" s="105" t="s">
        <v>250</v>
      </c>
      <c r="C79" s="110">
        <f t="shared" si="14"/>
        <v>2390980531</v>
      </c>
      <c r="D79" s="257">
        <f t="shared" ref="D79:I79" si="15">SUM(D80:D81)</f>
        <v>2382072581</v>
      </c>
      <c r="E79" s="110">
        <f t="shared" si="15"/>
        <v>383395</v>
      </c>
      <c r="F79" s="110">
        <f t="shared" si="15"/>
        <v>127382</v>
      </c>
      <c r="G79" s="110">
        <f t="shared" si="15"/>
        <v>1498662</v>
      </c>
      <c r="H79" s="110">
        <f t="shared" si="15"/>
        <v>82725</v>
      </c>
      <c r="I79" s="110">
        <f t="shared" si="15"/>
        <v>6815786</v>
      </c>
    </row>
    <row r="80" spans="1:9" s="179" customFormat="1" ht="12" customHeight="1" x14ac:dyDescent="0.2">
      <c r="A80" s="12" t="s">
        <v>273</v>
      </c>
      <c r="B80" s="180" t="s">
        <v>251</v>
      </c>
      <c r="C80" s="275">
        <f t="shared" si="14"/>
        <v>2390980531</v>
      </c>
      <c r="D80" s="248">
        <f>2381931880+140701</f>
        <v>2382072581</v>
      </c>
      <c r="E80" s="114">
        <v>383395</v>
      </c>
      <c r="F80" s="114">
        <v>127382</v>
      </c>
      <c r="G80" s="114">
        <v>1498662</v>
      </c>
      <c r="H80" s="114">
        <v>82725</v>
      </c>
      <c r="I80" s="114">
        <v>6815786</v>
      </c>
    </row>
    <row r="81" spans="1:9" s="179" customFormat="1" ht="12" customHeight="1" thickBot="1" x14ac:dyDescent="0.25">
      <c r="A81" s="13" t="s">
        <v>274</v>
      </c>
      <c r="B81" s="107" t="s">
        <v>252</v>
      </c>
      <c r="C81" s="280">
        <f t="shared" si="14"/>
        <v>0</v>
      </c>
      <c r="D81" s="248"/>
      <c r="E81" s="114"/>
      <c r="F81" s="114"/>
      <c r="G81" s="114"/>
      <c r="H81" s="114"/>
      <c r="I81" s="114"/>
    </row>
    <row r="82" spans="1:9" s="179" customFormat="1" ht="12" customHeight="1" thickBot="1" x14ac:dyDescent="0.25">
      <c r="A82" s="236" t="s">
        <v>253</v>
      </c>
      <c r="B82" s="105" t="s">
        <v>254</v>
      </c>
      <c r="C82" s="281">
        <f t="shared" si="14"/>
        <v>61842606</v>
      </c>
      <c r="D82" s="257">
        <f t="shared" ref="D82:I82" si="16">SUM(D83:D85)</f>
        <v>61842606</v>
      </c>
      <c r="E82" s="110">
        <f t="shared" si="16"/>
        <v>0</v>
      </c>
      <c r="F82" s="110">
        <f t="shared" si="16"/>
        <v>0</v>
      </c>
      <c r="G82" s="110">
        <f t="shared" si="16"/>
        <v>0</v>
      </c>
      <c r="H82" s="110">
        <f t="shared" si="16"/>
        <v>0</v>
      </c>
      <c r="I82" s="110">
        <f t="shared" si="16"/>
        <v>0</v>
      </c>
    </row>
    <row r="83" spans="1:9" s="179" customFormat="1" ht="12" customHeight="1" x14ac:dyDescent="0.2">
      <c r="A83" s="12" t="s">
        <v>275</v>
      </c>
      <c r="B83" s="180" t="s">
        <v>255</v>
      </c>
      <c r="C83" s="1137">
        <f t="shared" si="14"/>
        <v>61842606</v>
      </c>
      <c r="D83" s="248">
        <f>55076107+6766499</f>
        <v>61842606</v>
      </c>
      <c r="E83" s="114"/>
      <c r="F83" s="114"/>
      <c r="G83" s="114"/>
      <c r="H83" s="114"/>
      <c r="I83" s="114"/>
    </row>
    <row r="84" spans="1:9" s="179" customFormat="1" ht="12" customHeight="1" x14ac:dyDescent="0.2">
      <c r="A84" s="11" t="s">
        <v>276</v>
      </c>
      <c r="B84" s="181" t="s">
        <v>256</v>
      </c>
      <c r="C84" s="279">
        <f t="shared" si="14"/>
        <v>0</v>
      </c>
      <c r="D84" s="248"/>
      <c r="E84" s="114"/>
      <c r="F84" s="114"/>
      <c r="G84" s="114"/>
      <c r="H84" s="114"/>
      <c r="I84" s="114"/>
    </row>
    <row r="85" spans="1:9" s="179" customFormat="1" ht="12" customHeight="1" thickBot="1" x14ac:dyDescent="0.25">
      <c r="A85" s="13" t="s">
        <v>277</v>
      </c>
      <c r="B85" s="107" t="s">
        <v>747</v>
      </c>
      <c r="C85" s="669">
        <f t="shared" si="14"/>
        <v>0</v>
      </c>
      <c r="D85" s="248"/>
      <c r="E85" s="114"/>
      <c r="F85" s="114"/>
      <c r="G85" s="114"/>
      <c r="H85" s="114"/>
      <c r="I85" s="114"/>
    </row>
    <row r="86" spans="1:9" s="179" customFormat="1" ht="12" customHeight="1" thickBot="1" x14ac:dyDescent="0.25">
      <c r="A86" s="236" t="s">
        <v>258</v>
      </c>
      <c r="B86" s="105" t="s">
        <v>278</v>
      </c>
      <c r="C86" s="281">
        <f t="shared" si="14"/>
        <v>0</v>
      </c>
      <c r="D86" s="257">
        <f t="shared" ref="D86:I86" si="17">SUM(D87:D90)</f>
        <v>0</v>
      </c>
      <c r="E86" s="110">
        <f t="shared" si="17"/>
        <v>0</v>
      </c>
      <c r="F86" s="110">
        <f t="shared" si="17"/>
        <v>0</v>
      </c>
      <c r="G86" s="110">
        <f t="shared" si="17"/>
        <v>0</v>
      </c>
      <c r="H86" s="110">
        <f t="shared" si="17"/>
        <v>0</v>
      </c>
      <c r="I86" s="110">
        <f t="shared" si="17"/>
        <v>0</v>
      </c>
    </row>
    <row r="87" spans="1:9" s="179" customFormat="1" ht="12" customHeight="1" x14ac:dyDescent="0.2">
      <c r="A87" s="184" t="s">
        <v>259</v>
      </c>
      <c r="B87" s="180" t="s">
        <v>260</v>
      </c>
      <c r="C87" s="176">
        <f t="shared" si="14"/>
        <v>0</v>
      </c>
      <c r="D87" s="248"/>
      <c r="E87" s="114"/>
      <c r="F87" s="114"/>
      <c r="G87" s="114"/>
      <c r="H87" s="114"/>
      <c r="I87" s="114"/>
    </row>
    <row r="88" spans="1:9" s="179" customFormat="1" ht="12" customHeight="1" x14ac:dyDescent="0.2">
      <c r="A88" s="185" t="s">
        <v>261</v>
      </c>
      <c r="B88" s="181" t="s">
        <v>262</v>
      </c>
      <c r="C88" s="279">
        <f t="shared" si="14"/>
        <v>0</v>
      </c>
      <c r="D88" s="248"/>
      <c r="E88" s="114"/>
      <c r="F88" s="114"/>
      <c r="G88" s="114"/>
      <c r="H88" s="114"/>
      <c r="I88" s="114"/>
    </row>
    <row r="89" spans="1:9" s="179" customFormat="1" ht="12" customHeight="1" x14ac:dyDescent="0.2">
      <c r="A89" s="185" t="s">
        <v>263</v>
      </c>
      <c r="B89" s="181" t="s">
        <v>264</v>
      </c>
      <c r="C89" s="279">
        <f t="shared" si="14"/>
        <v>0</v>
      </c>
      <c r="D89" s="248"/>
      <c r="E89" s="114"/>
      <c r="F89" s="114"/>
      <c r="G89" s="114"/>
      <c r="H89" s="114"/>
      <c r="I89" s="114"/>
    </row>
    <row r="90" spans="1:9" s="179" customFormat="1" ht="12" customHeight="1" thickBot="1" x14ac:dyDescent="0.25">
      <c r="A90" s="186" t="s">
        <v>265</v>
      </c>
      <c r="B90" s="107" t="s">
        <v>266</v>
      </c>
      <c r="C90" s="280">
        <f t="shared" si="14"/>
        <v>0</v>
      </c>
      <c r="D90" s="248"/>
      <c r="E90" s="114"/>
      <c r="F90" s="114"/>
      <c r="G90" s="114"/>
      <c r="H90" s="114"/>
      <c r="I90" s="114"/>
    </row>
    <row r="91" spans="1:9" s="179" customFormat="1" ht="12" customHeight="1" thickBot="1" x14ac:dyDescent="0.25">
      <c r="A91" s="236" t="s">
        <v>267</v>
      </c>
      <c r="B91" s="105" t="s">
        <v>395</v>
      </c>
      <c r="C91" s="309">
        <f t="shared" si="14"/>
        <v>0</v>
      </c>
      <c r="D91" s="260"/>
      <c r="E91" s="215"/>
      <c r="F91" s="215"/>
      <c r="G91" s="215"/>
      <c r="H91" s="215"/>
      <c r="I91" s="215"/>
    </row>
    <row r="92" spans="1:9" s="179" customFormat="1" ht="13.5" customHeight="1" thickBot="1" x14ac:dyDescent="0.25">
      <c r="A92" s="236" t="s">
        <v>269</v>
      </c>
      <c r="B92" s="105" t="s">
        <v>268</v>
      </c>
      <c r="C92" s="281">
        <f t="shared" si="14"/>
        <v>0</v>
      </c>
      <c r="D92" s="260"/>
      <c r="E92" s="215"/>
      <c r="F92" s="215"/>
      <c r="G92" s="215"/>
      <c r="H92" s="215"/>
      <c r="I92" s="215"/>
    </row>
    <row r="93" spans="1:9" s="179" customFormat="1" ht="15.75" customHeight="1" thickBot="1" x14ac:dyDescent="0.25">
      <c r="A93" s="236" t="s">
        <v>281</v>
      </c>
      <c r="B93" s="187" t="s">
        <v>396</v>
      </c>
      <c r="C93" s="110">
        <f t="shared" si="14"/>
        <v>3670556387</v>
      </c>
      <c r="D93" s="259">
        <f t="shared" ref="D93:I93" si="18">+D70+D74+D79+D82+D86+D92+D91</f>
        <v>3661648437</v>
      </c>
      <c r="E93" s="115">
        <f t="shared" si="18"/>
        <v>383395</v>
      </c>
      <c r="F93" s="115">
        <f t="shared" si="18"/>
        <v>127382</v>
      </c>
      <c r="G93" s="115">
        <f t="shared" si="18"/>
        <v>1498662</v>
      </c>
      <c r="H93" s="115">
        <f t="shared" si="18"/>
        <v>82725</v>
      </c>
      <c r="I93" s="115">
        <f t="shared" si="18"/>
        <v>6815786</v>
      </c>
    </row>
    <row r="94" spans="1:9" s="179" customFormat="1" ht="16.5" customHeight="1" thickBot="1" x14ac:dyDescent="0.25">
      <c r="A94" s="238" t="s">
        <v>397</v>
      </c>
      <c r="B94" s="188" t="s">
        <v>398</v>
      </c>
      <c r="C94" s="242">
        <f t="shared" si="14"/>
        <v>7223671203</v>
      </c>
      <c r="D94" s="259">
        <f t="shared" ref="D94:I94" si="19">+D69+D93</f>
        <v>7122013725</v>
      </c>
      <c r="E94" s="115">
        <f t="shared" si="19"/>
        <v>53283782</v>
      </c>
      <c r="F94" s="115">
        <f t="shared" si="19"/>
        <v>12844620</v>
      </c>
      <c r="G94" s="115">
        <f t="shared" si="19"/>
        <v>13941542</v>
      </c>
      <c r="H94" s="115">
        <f t="shared" si="19"/>
        <v>1342260</v>
      </c>
      <c r="I94" s="115">
        <f t="shared" si="19"/>
        <v>20245274</v>
      </c>
    </row>
    <row r="95" spans="1:9" ht="16.5" customHeight="1" x14ac:dyDescent="0.25">
      <c r="A95" s="1328" t="s">
        <v>44</v>
      </c>
      <c r="B95" s="1328"/>
      <c r="C95" s="1328"/>
      <c r="D95" s="283"/>
    </row>
    <row r="96" spans="1:9" ht="16.5" customHeight="1" thickBot="1" x14ac:dyDescent="0.3">
      <c r="A96" s="1329" t="s">
        <v>115</v>
      </c>
      <c r="B96" s="1329"/>
      <c r="C96" s="56" t="s">
        <v>487</v>
      </c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167" t="str">
        <f t="shared" ref="D97:I97" si="20">D9</f>
        <v>Önk</v>
      </c>
      <c r="E97" s="167" t="str">
        <f t="shared" si="20"/>
        <v>PH</v>
      </c>
      <c r="F97" s="167" t="str">
        <f t="shared" si="20"/>
        <v>Óvoda</v>
      </c>
      <c r="G97" s="167" t="str">
        <f t="shared" si="20"/>
        <v>EKIK</v>
      </c>
      <c r="H97" s="167" t="str">
        <f t="shared" si="20"/>
        <v>Bölcsőde</v>
      </c>
      <c r="I97" s="167" t="str">
        <f t="shared" si="20"/>
        <v>Kornisné</v>
      </c>
    </row>
    <row r="98" spans="1:9" s="178" customFormat="1" ht="12" customHeight="1" thickBot="1" x14ac:dyDescent="0.25">
      <c r="A98" s="25" t="s">
        <v>385</v>
      </c>
      <c r="B98" s="26" t="s">
        <v>386</v>
      </c>
      <c r="C98" s="175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0">
        <f t="shared" ref="C99:C159" si="21">SUM(D99:I99)</f>
        <v>2069655006</v>
      </c>
      <c r="D99" s="263">
        <f>+D100+D101+D102+D103+D104+D117</f>
        <v>963115767</v>
      </c>
      <c r="E99" s="109">
        <f>+E100+E101+E102+E103+E104+E117</f>
        <v>228083479</v>
      </c>
      <c r="F99" s="267">
        <f>F100+F101+F102+F103+F104+F117</f>
        <v>384283599</v>
      </c>
      <c r="G99" s="267">
        <f>G100+G101+G102+G103+G104+G117</f>
        <v>147746455</v>
      </c>
      <c r="H99" s="267">
        <f>H100+H101+H102+H103+H104+H117</f>
        <v>134557208</v>
      </c>
      <c r="I99" s="26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1137">
        <f t="shared" si="21"/>
        <v>657941594</v>
      </c>
      <c r="D100" s="678">
        <f>54633238+15752+3734601-1494150-22379+15218374-68596+313773-547619-28930022</f>
        <v>42852972</v>
      </c>
      <c r="E100" s="253">
        <f>731087+6627773</f>
        <v>7358860</v>
      </c>
      <c r="F100" s="253">
        <v>267518494</v>
      </c>
      <c r="G100" s="253">
        <v>75694923</v>
      </c>
      <c r="H100" s="253">
        <v>103154129</v>
      </c>
      <c r="I100" s="253">
        <v>161362216</v>
      </c>
    </row>
    <row r="101" spans="1:9" ht="12" customHeight="1" x14ac:dyDescent="0.25">
      <c r="A101" s="11" t="s">
        <v>86</v>
      </c>
      <c r="B101" s="5" t="s">
        <v>134</v>
      </c>
      <c r="C101" s="666">
        <f t="shared" si="21"/>
        <v>93537474</v>
      </c>
      <c r="D101" s="248">
        <f>8055314+4987520-204794+22379+1986824+56308+118688-4211183</f>
        <v>10811056</v>
      </c>
      <c r="E101" s="114">
        <f>100249+927437</f>
        <v>1027686</v>
      </c>
      <c r="F101" s="114">
        <v>35464167</v>
      </c>
      <c r="G101" s="114">
        <v>10359218</v>
      </c>
      <c r="H101" s="114">
        <v>13799567</v>
      </c>
      <c r="I101" s="114">
        <v>22075780</v>
      </c>
    </row>
    <row r="102" spans="1:9" ht="12" customHeight="1" x14ac:dyDescent="0.25">
      <c r="A102" s="11" t="s">
        <v>87</v>
      </c>
      <c r="B102" s="5" t="s">
        <v>110</v>
      </c>
      <c r="C102" s="666">
        <f t="shared" si="21"/>
        <v>996198020</v>
      </c>
      <c r="D102" s="251">
        <f>475468834-160000+5629221-24893746+4628986+45619949+69483417+3500000+9873620+36746397-38422857</f>
        <v>587473821</v>
      </c>
      <c r="E102" s="170">
        <f>5085511+653100+1140520+207726153+4676833+414816</f>
        <v>219696933</v>
      </c>
      <c r="F102" s="114">
        <v>81300938</v>
      </c>
      <c r="G102" s="114">
        <v>61692314</v>
      </c>
      <c r="H102" s="114">
        <v>17603512</v>
      </c>
      <c r="I102" s="114">
        <v>28430502</v>
      </c>
    </row>
    <row r="103" spans="1:9" ht="12" customHeight="1" x14ac:dyDescent="0.25">
      <c r="A103" s="11" t="s">
        <v>88</v>
      </c>
      <c r="B103" s="210" t="s">
        <v>135</v>
      </c>
      <c r="C103" s="666">
        <f t="shared" si="21"/>
        <v>38050000</v>
      </c>
      <c r="D103" s="251">
        <f>43800000+1250000-7000000</f>
        <v>38050000</v>
      </c>
      <c r="E103" s="170"/>
      <c r="F103" s="170"/>
      <c r="G103" s="170"/>
      <c r="H103" s="170"/>
      <c r="I103" s="170"/>
    </row>
    <row r="104" spans="1:9" ht="12" customHeight="1" x14ac:dyDescent="0.25">
      <c r="A104" s="11" t="s">
        <v>99</v>
      </c>
      <c r="B104" s="4" t="s">
        <v>136</v>
      </c>
      <c r="C104" s="276">
        <f t="shared" si="21"/>
        <v>178606117</v>
      </c>
      <c r="D104" s="251">
        <f>SUM(D105:D116)</f>
        <v>178606117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</row>
    <row r="105" spans="1:9" ht="12" customHeight="1" x14ac:dyDescent="0.25">
      <c r="A105" s="11" t="s">
        <v>89</v>
      </c>
      <c r="B105" s="5" t="s">
        <v>399</v>
      </c>
      <c r="C105" s="666">
        <f t="shared" si="21"/>
        <v>4777953</v>
      </c>
      <c r="D105" s="251">
        <f>3966181+973615-973615+4738+807034</f>
        <v>4777953</v>
      </c>
      <c r="E105" s="170"/>
      <c r="F105" s="170"/>
      <c r="G105" s="170"/>
      <c r="H105" s="170"/>
      <c r="I105" s="170"/>
    </row>
    <row r="106" spans="1:9" ht="12" customHeight="1" x14ac:dyDescent="0.25">
      <c r="A106" s="11" t="s">
        <v>90</v>
      </c>
      <c r="B106" s="60" t="s">
        <v>400</v>
      </c>
      <c r="C106" s="279">
        <f t="shared" si="21"/>
        <v>5091319</v>
      </c>
      <c r="D106" s="251">
        <v>5091319</v>
      </c>
      <c r="E106" s="170"/>
      <c r="F106" s="170"/>
      <c r="G106" s="170"/>
      <c r="H106" s="170"/>
      <c r="I106" s="170"/>
    </row>
    <row r="107" spans="1:9" ht="12" customHeight="1" x14ac:dyDescent="0.25">
      <c r="A107" s="11" t="s">
        <v>100</v>
      </c>
      <c r="B107" s="60" t="s">
        <v>401</v>
      </c>
      <c r="C107" s="276">
        <f t="shared" si="21"/>
        <v>0</v>
      </c>
      <c r="D107" s="251"/>
      <c r="E107" s="170"/>
      <c r="F107" s="170"/>
      <c r="G107" s="170"/>
      <c r="H107" s="170"/>
      <c r="I107" s="170"/>
    </row>
    <row r="108" spans="1:9" ht="12" customHeight="1" x14ac:dyDescent="0.25">
      <c r="A108" s="11" t="s">
        <v>101</v>
      </c>
      <c r="B108" s="58" t="s">
        <v>284</v>
      </c>
      <c r="C108" s="279">
        <f t="shared" si="21"/>
        <v>0</v>
      </c>
      <c r="D108" s="251"/>
      <c r="E108" s="170"/>
      <c r="F108" s="170"/>
      <c r="G108" s="170"/>
      <c r="H108" s="170"/>
      <c r="I108" s="170"/>
    </row>
    <row r="109" spans="1:9" ht="12" customHeight="1" x14ac:dyDescent="0.25">
      <c r="A109" s="11" t="s">
        <v>102</v>
      </c>
      <c r="B109" s="59" t="s">
        <v>285</v>
      </c>
      <c r="C109" s="279">
        <f t="shared" si="21"/>
        <v>0</v>
      </c>
      <c r="D109" s="251"/>
      <c r="E109" s="170"/>
      <c r="F109" s="170"/>
      <c r="G109" s="170"/>
      <c r="H109" s="170"/>
      <c r="I109" s="170"/>
    </row>
    <row r="110" spans="1:9" ht="12" customHeight="1" x14ac:dyDescent="0.25">
      <c r="A110" s="11" t="s">
        <v>103</v>
      </c>
      <c r="B110" s="59" t="s">
        <v>286</v>
      </c>
      <c r="C110" s="279">
        <f t="shared" si="21"/>
        <v>0</v>
      </c>
      <c r="D110" s="251"/>
      <c r="E110" s="170"/>
      <c r="F110" s="170"/>
      <c r="G110" s="170"/>
      <c r="H110" s="170"/>
      <c r="I110" s="170"/>
    </row>
    <row r="111" spans="1:9" ht="12" customHeight="1" x14ac:dyDescent="0.25">
      <c r="A111" s="11" t="s">
        <v>105</v>
      </c>
      <c r="B111" s="58" t="s">
        <v>287</v>
      </c>
      <c r="C111" s="276">
        <f t="shared" si="21"/>
        <v>811126</v>
      </c>
      <c r="D111" s="251">
        <f>636000+175125+1</f>
        <v>811126</v>
      </c>
      <c r="E111" s="170"/>
      <c r="F111" s="170"/>
      <c r="G111" s="170"/>
      <c r="H111" s="170"/>
      <c r="I111" s="170"/>
    </row>
    <row r="112" spans="1:9" ht="12" customHeight="1" x14ac:dyDescent="0.25">
      <c r="A112" s="11" t="s">
        <v>137</v>
      </c>
      <c r="B112" s="58" t="s">
        <v>288</v>
      </c>
      <c r="C112" s="279">
        <f t="shared" si="21"/>
        <v>0</v>
      </c>
      <c r="D112" s="251"/>
      <c r="E112" s="170"/>
      <c r="F112" s="170"/>
      <c r="G112" s="170"/>
      <c r="H112" s="170"/>
      <c r="I112" s="170"/>
    </row>
    <row r="113" spans="1:9" ht="12" customHeight="1" x14ac:dyDescent="0.25">
      <c r="A113" s="11" t="s">
        <v>282</v>
      </c>
      <c r="B113" s="59" t="s">
        <v>289</v>
      </c>
      <c r="C113" s="279">
        <f t="shared" si="21"/>
        <v>0</v>
      </c>
      <c r="D113" s="251"/>
      <c r="E113" s="170"/>
      <c r="F113" s="170"/>
      <c r="G113" s="170"/>
      <c r="H113" s="170"/>
      <c r="I113" s="170"/>
    </row>
    <row r="114" spans="1:9" ht="12" customHeight="1" x14ac:dyDescent="0.25">
      <c r="A114" s="10" t="s">
        <v>283</v>
      </c>
      <c r="B114" s="60" t="s">
        <v>290</v>
      </c>
      <c r="C114" s="279">
        <f t="shared" si="21"/>
        <v>0</v>
      </c>
      <c r="D114" s="251"/>
      <c r="E114" s="170"/>
      <c r="F114" s="170"/>
      <c r="G114" s="170"/>
      <c r="H114" s="170"/>
      <c r="I114" s="170"/>
    </row>
    <row r="115" spans="1:9" ht="12" customHeight="1" x14ac:dyDescent="0.25">
      <c r="A115" s="11" t="s">
        <v>402</v>
      </c>
      <c r="B115" s="60" t="s">
        <v>291</v>
      </c>
      <c r="C115" s="279">
        <f t="shared" si="21"/>
        <v>0</v>
      </c>
      <c r="D115" s="251"/>
      <c r="E115" s="170"/>
      <c r="F115" s="170"/>
      <c r="G115" s="170"/>
      <c r="H115" s="170"/>
      <c r="I115" s="170"/>
    </row>
    <row r="116" spans="1:9" ht="12" customHeight="1" x14ac:dyDescent="0.25">
      <c r="A116" s="13" t="s">
        <v>403</v>
      </c>
      <c r="B116" s="60" t="s">
        <v>292</v>
      </c>
      <c r="C116" s="666">
        <f t="shared" si="21"/>
        <v>167925719</v>
      </c>
      <c r="D116" s="248">
        <f>170106841+234570+341802-107232-4071620+1421358</f>
        <v>167925719</v>
      </c>
      <c r="E116" s="114"/>
      <c r="F116" s="170"/>
      <c r="G116" s="170"/>
      <c r="H116" s="170"/>
      <c r="I116" s="170"/>
    </row>
    <row r="117" spans="1:9" ht="12" customHeight="1" x14ac:dyDescent="0.25">
      <c r="A117" s="11" t="s">
        <v>404</v>
      </c>
      <c r="B117" s="5" t="s">
        <v>47</v>
      </c>
      <c r="C117" s="276">
        <f t="shared" si="21"/>
        <v>105321801</v>
      </c>
      <c r="D117" s="248">
        <f t="shared" ref="D117:I117" si="22">SUM(D118:D119)</f>
        <v>105321801</v>
      </c>
      <c r="E117" s="248">
        <f t="shared" si="22"/>
        <v>0</v>
      </c>
      <c r="F117" s="248">
        <f t="shared" si="22"/>
        <v>0</v>
      </c>
      <c r="G117" s="248">
        <f t="shared" si="22"/>
        <v>0</v>
      </c>
      <c r="H117" s="248">
        <f t="shared" si="22"/>
        <v>0</v>
      </c>
      <c r="I117" s="24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666">
        <f t="shared" si="21"/>
        <v>919032</v>
      </c>
      <c r="D118" s="251">
        <f>10000000+2761613+2341692-1769228+5286934+3399263-4655454+23132920-39578708</f>
        <v>919032</v>
      </c>
      <c r="E118" s="170"/>
      <c r="F118" s="114"/>
      <c r="G118" s="114"/>
      <c r="H118" s="114"/>
      <c r="I118" s="114"/>
    </row>
    <row r="119" spans="1:9" ht="12" customHeight="1" thickBot="1" x14ac:dyDescent="0.3">
      <c r="A119" s="15" t="s">
        <v>407</v>
      </c>
      <c r="B119" s="239" t="s">
        <v>408</v>
      </c>
      <c r="C119" s="666">
        <f t="shared" si="21"/>
        <v>104402769</v>
      </c>
      <c r="D119" s="272">
        <f>120420513-108134-3989610-1920000-10000000</f>
        <v>104402769</v>
      </c>
      <c r="E119" s="256"/>
      <c r="F119" s="256"/>
      <c r="G119" s="256"/>
      <c r="H119" s="256"/>
      <c r="I119" s="256"/>
    </row>
    <row r="120" spans="1:9" ht="12" customHeight="1" thickBot="1" x14ac:dyDescent="0.3">
      <c r="A120" s="240" t="s">
        <v>17</v>
      </c>
      <c r="B120" s="241" t="s">
        <v>293</v>
      </c>
      <c r="C120" s="110">
        <f t="shared" si="21"/>
        <v>3427109060</v>
      </c>
      <c r="D120" s="257">
        <f t="shared" ref="D120:I120" si="23">+D121+D123+D125</f>
        <v>3417093973</v>
      </c>
      <c r="E120" s="110">
        <f t="shared" si="23"/>
        <v>80000</v>
      </c>
      <c r="F120" s="242">
        <f t="shared" si="23"/>
        <v>1803400</v>
      </c>
      <c r="G120" s="242">
        <f t="shared" si="23"/>
        <v>6858790</v>
      </c>
      <c r="H120" s="242">
        <f t="shared" si="23"/>
        <v>523597</v>
      </c>
      <c r="I120" s="242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1137">
        <f>SUM(D121:I121)</f>
        <v>864739802</v>
      </c>
      <c r="D121" s="677">
        <f>652524568-30445-7966244+15221336+137228863+76115016+202555-20000000+1801059+4071620-3846713</f>
        <v>855321615</v>
      </c>
      <c r="E121" s="214">
        <v>80000</v>
      </c>
      <c r="F121" s="214">
        <v>1206500</v>
      </c>
      <c r="G121" s="214">
        <v>6858790</v>
      </c>
      <c r="H121" s="214">
        <v>523597</v>
      </c>
      <c r="I121" s="214">
        <v>749300</v>
      </c>
    </row>
    <row r="122" spans="1:9" ht="12" customHeight="1" x14ac:dyDescent="0.25">
      <c r="A122" s="12" t="s">
        <v>92</v>
      </c>
      <c r="B122" s="9" t="s">
        <v>297</v>
      </c>
      <c r="C122" s="275">
        <f t="shared" si="21"/>
        <v>441849383</v>
      </c>
      <c r="D122" s="1199">
        <f>224124925+137436248+76216590+4071620</f>
        <v>441849383</v>
      </c>
      <c r="E122" s="214"/>
      <c r="F122" s="214"/>
      <c r="G122" s="214"/>
      <c r="H122" s="214"/>
      <c r="I122" s="214"/>
    </row>
    <row r="123" spans="1:9" ht="12" customHeight="1" x14ac:dyDescent="0.25">
      <c r="A123" s="12" t="s">
        <v>93</v>
      </c>
      <c r="B123" s="9" t="s">
        <v>138</v>
      </c>
      <c r="C123" s="1137">
        <f t="shared" si="21"/>
        <v>2560040089</v>
      </c>
      <c r="D123" s="248">
        <f>1885218597-8470273+588237-19331097+799145+696873390-25113756+35228946-6350000</f>
        <v>2559443189</v>
      </c>
      <c r="E123" s="114"/>
      <c r="F123" s="114">
        <v>596900</v>
      </c>
      <c r="G123" s="114"/>
      <c r="H123" s="114"/>
      <c r="I123" s="114"/>
    </row>
    <row r="124" spans="1:9" ht="12" customHeight="1" x14ac:dyDescent="0.25">
      <c r="A124" s="12" t="s">
        <v>94</v>
      </c>
      <c r="B124" s="9" t="s">
        <v>298</v>
      </c>
      <c r="C124" s="275">
        <f t="shared" si="21"/>
        <v>1179981633</v>
      </c>
      <c r="D124" s="1200">
        <f>399460471+703784240+76736922</f>
        <v>1179981633</v>
      </c>
      <c r="E124" s="469"/>
      <c r="F124" s="248"/>
      <c r="G124" s="248"/>
      <c r="H124" s="248"/>
      <c r="I124" s="248"/>
    </row>
    <row r="125" spans="1:9" ht="12" customHeight="1" x14ac:dyDescent="0.25">
      <c r="A125" s="12" t="s">
        <v>95</v>
      </c>
      <c r="B125" s="107" t="s">
        <v>159</v>
      </c>
      <c r="C125" s="275">
        <f t="shared" si="21"/>
        <v>2329169</v>
      </c>
      <c r="D125" s="248">
        <f t="shared" ref="D125:I125" si="24">SUM(D126:D133)</f>
        <v>2329169</v>
      </c>
      <c r="E125" s="248">
        <f t="shared" si="24"/>
        <v>0</v>
      </c>
      <c r="F125" s="248">
        <f t="shared" si="24"/>
        <v>0</v>
      </c>
      <c r="G125" s="248">
        <f t="shared" si="24"/>
        <v>0</v>
      </c>
      <c r="H125" s="248">
        <f t="shared" si="24"/>
        <v>0</v>
      </c>
      <c r="I125" s="248">
        <f t="shared" si="24"/>
        <v>0</v>
      </c>
    </row>
    <row r="126" spans="1:9" ht="12" customHeight="1" x14ac:dyDescent="0.25">
      <c r="A126" s="12" t="s">
        <v>104</v>
      </c>
      <c r="B126" s="106" t="s">
        <v>358</v>
      </c>
      <c r="C126" s="275">
        <f t="shared" si="21"/>
        <v>0</v>
      </c>
      <c r="D126" s="99"/>
      <c r="E126" s="99"/>
      <c r="F126" s="248"/>
      <c r="G126" s="248"/>
      <c r="H126" s="248"/>
      <c r="I126" s="248"/>
    </row>
    <row r="127" spans="1:9" ht="12" customHeight="1" x14ac:dyDescent="0.25">
      <c r="A127" s="12" t="s">
        <v>106</v>
      </c>
      <c r="B127" s="177" t="s">
        <v>303</v>
      </c>
      <c r="C127" s="275">
        <f t="shared" si="21"/>
        <v>0</v>
      </c>
      <c r="D127" s="99"/>
      <c r="E127" s="99"/>
      <c r="F127" s="248"/>
      <c r="G127" s="248"/>
      <c r="H127" s="248"/>
      <c r="I127" s="248"/>
    </row>
    <row r="128" spans="1:9" x14ac:dyDescent="0.25">
      <c r="A128" s="12" t="s">
        <v>139</v>
      </c>
      <c r="B128" s="59" t="s">
        <v>286</v>
      </c>
      <c r="C128" s="275">
        <f t="shared" si="21"/>
        <v>0</v>
      </c>
      <c r="D128" s="99"/>
      <c r="E128" s="99"/>
      <c r="F128" s="248"/>
      <c r="G128" s="248"/>
      <c r="H128" s="248"/>
      <c r="I128" s="248"/>
    </row>
    <row r="129" spans="1:9" ht="12" customHeight="1" x14ac:dyDescent="0.25">
      <c r="A129" s="12" t="s">
        <v>140</v>
      </c>
      <c r="B129" s="59" t="s">
        <v>302</v>
      </c>
      <c r="C129" s="275">
        <f t="shared" si="21"/>
        <v>798660</v>
      </c>
      <c r="D129" s="99">
        <v>798660</v>
      </c>
      <c r="E129" s="99"/>
      <c r="F129" s="248"/>
      <c r="G129" s="248"/>
      <c r="H129" s="248"/>
      <c r="I129" s="248"/>
    </row>
    <row r="130" spans="1:9" ht="12" customHeight="1" x14ac:dyDescent="0.25">
      <c r="A130" s="12" t="s">
        <v>141</v>
      </c>
      <c r="B130" s="59" t="s">
        <v>301</v>
      </c>
      <c r="C130" s="275">
        <f t="shared" si="21"/>
        <v>0</v>
      </c>
      <c r="D130" s="99"/>
      <c r="E130" s="99"/>
      <c r="F130" s="248"/>
      <c r="G130" s="248"/>
      <c r="H130" s="248"/>
      <c r="I130" s="248"/>
    </row>
    <row r="131" spans="1:9" ht="12" customHeight="1" x14ac:dyDescent="0.25">
      <c r="A131" s="12" t="s">
        <v>294</v>
      </c>
      <c r="B131" s="59" t="s">
        <v>289</v>
      </c>
      <c r="C131" s="176">
        <f t="shared" si="21"/>
        <v>0</v>
      </c>
      <c r="D131" s="99"/>
      <c r="E131" s="99"/>
      <c r="F131" s="248"/>
      <c r="G131" s="248"/>
      <c r="H131" s="248"/>
      <c r="I131" s="248"/>
    </row>
    <row r="132" spans="1:9" ht="12" customHeight="1" x14ac:dyDescent="0.25">
      <c r="A132" s="12" t="s">
        <v>295</v>
      </c>
      <c r="B132" s="59" t="s">
        <v>300</v>
      </c>
      <c r="C132" s="176">
        <f t="shared" si="21"/>
        <v>0</v>
      </c>
      <c r="D132" s="99"/>
      <c r="E132" s="99"/>
      <c r="F132" s="248"/>
      <c r="G132" s="248"/>
      <c r="H132" s="248"/>
      <c r="I132" s="248"/>
    </row>
    <row r="133" spans="1:9" ht="16.5" thickBot="1" x14ac:dyDescent="0.3">
      <c r="A133" s="10" t="s">
        <v>296</v>
      </c>
      <c r="B133" s="59" t="s">
        <v>299</v>
      </c>
      <c r="C133" s="275">
        <f t="shared" si="21"/>
        <v>1530509</v>
      </c>
      <c r="D133" s="251">
        <f>1423277+107232</f>
        <v>1530509</v>
      </c>
      <c r="E133" s="251"/>
      <c r="F133" s="251"/>
      <c r="G133" s="251"/>
      <c r="H133" s="251"/>
      <c r="I133" s="251"/>
    </row>
    <row r="134" spans="1:9" ht="12" customHeight="1" thickBot="1" x14ac:dyDescent="0.3">
      <c r="A134" s="17" t="s">
        <v>18</v>
      </c>
      <c r="B134" s="54" t="s">
        <v>409</v>
      </c>
      <c r="C134" s="110">
        <f t="shared" si="21"/>
        <v>5496764066</v>
      </c>
      <c r="D134" s="257">
        <f t="shared" ref="D134:I134" si="25">+D99+D120</f>
        <v>4380209740</v>
      </c>
      <c r="E134" s="110">
        <f t="shared" si="25"/>
        <v>228163479</v>
      </c>
      <c r="F134" s="110">
        <f t="shared" si="25"/>
        <v>386086999</v>
      </c>
      <c r="G134" s="110">
        <f t="shared" si="25"/>
        <v>154605245</v>
      </c>
      <c r="H134" s="110">
        <f t="shared" si="25"/>
        <v>135080805</v>
      </c>
      <c r="I134" s="110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81">
        <f t="shared" si="21"/>
        <v>1071060296</v>
      </c>
      <c r="D135" s="257">
        <f t="shared" ref="D135:I135" si="26">+D136+D137+D138</f>
        <v>1071060296</v>
      </c>
      <c r="E135" s="110">
        <f t="shared" si="26"/>
        <v>0</v>
      </c>
      <c r="F135" s="110">
        <f t="shared" si="26"/>
        <v>0</v>
      </c>
      <c r="G135" s="110">
        <f t="shared" si="26"/>
        <v>0</v>
      </c>
      <c r="H135" s="110">
        <f t="shared" si="26"/>
        <v>0</v>
      </c>
      <c r="I135" s="110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6">
        <f t="shared" si="21"/>
        <v>21060296</v>
      </c>
      <c r="D136" s="248">
        <v>21060296</v>
      </c>
      <c r="E136" s="248"/>
      <c r="F136" s="248"/>
      <c r="G136" s="248"/>
      <c r="H136" s="248"/>
      <c r="I136" s="248"/>
    </row>
    <row r="137" spans="1:9" ht="12" customHeight="1" x14ac:dyDescent="0.25">
      <c r="A137" s="12" t="s">
        <v>198</v>
      </c>
      <c r="B137" s="9" t="s">
        <v>412</v>
      </c>
      <c r="C137" s="276">
        <f t="shared" si="21"/>
        <v>1050000000</v>
      </c>
      <c r="D137" s="248">
        <f>1000000000+50000000</f>
        <v>1050000000</v>
      </c>
      <c r="E137" s="99"/>
      <c r="F137" s="99"/>
      <c r="G137" s="99"/>
      <c r="H137" s="99"/>
      <c r="I137" s="99"/>
    </row>
    <row r="138" spans="1:9" ht="12" customHeight="1" thickBot="1" x14ac:dyDescent="0.3">
      <c r="A138" s="10" t="s">
        <v>199</v>
      </c>
      <c r="B138" s="9" t="s">
        <v>413</v>
      </c>
      <c r="C138" s="280">
        <f t="shared" si="21"/>
        <v>0</v>
      </c>
      <c r="D138" s="99"/>
      <c r="E138" s="99"/>
      <c r="F138" s="99"/>
      <c r="G138" s="99"/>
      <c r="H138" s="99"/>
      <c r="I138" s="99"/>
    </row>
    <row r="139" spans="1:9" ht="12" customHeight="1" thickBot="1" x14ac:dyDescent="0.3">
      <c r="A139" s="17" t="s">
        <v>20</v>
      </c>
      <c r="B139" s="54" t="s">
        <v>414</v>
      </c>
      <c r="C139" s="281">
        <f t="shared" si="21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6">
        <f t="shared" si="21"/>
        <v>0</v>
      </c>
      <c r="D140" s="99"/>
      <c r="E140" s="99"/>
      <c r="F140" s="99"/>
      <c r="G140" s="99"/>
      <c r="H140" s="99"/>
      <c r="I140" s="99"/>
    </row>
    <row r="141" spans="1:9" ht="12" customHeight="1" x14ac:dyDescent="0.25">
      <c r="A141" s="12" t="s">
        <v>79</v>
      </c>
      <c r="B141" s="6" t="s">
        <v>416</v>
      </c>
      <c r="C141" s="279">
        <f t="shared" si="21"/>
        <v>0</v>
      </c>
      <c r="D141" s="99"/>
      <c r="E141" s="99"/>
      <c r="F141" s="99"/>
      <c r="G141" s="99"/>
      <c r="H141" s="99"/>
      <c r="I141" s="99"/>
    </row>
    <row r="142" spans="1:9" ht="12" customHeight="1" x14ac:dyDescent="0.25">
      <c r="A142" s="12" t="s">
        <v>80</v>
      </c>
      <c r="B142" s="6" t="s">
        <v>417</v>
      </c>
      <c r="C142" s="279">
        <f t="shared" si="21"/>
        <v>0</v>
      </c>
      <c r="D142" s="99"/>
      <c r="E142" s="99"/>
      <c r="F142" s="99"/>
      <c r="G142" s="99"/>
      <c r="H142" s="99"/>
      <c r="I142" s="99"/>
    </row>
    <row r="143" spans="1:9" ht="12" customHeight="1" x14ac:dyDescent="0.25">
      <c r="A143" s="12" t="s">
        <v>126</v>
      </c>
      <c r="B143" s="6" t="s">
        <v>418</v>
      </c>
      <c r="C143" s="279">
        <f t="shared" si="21"/>
        <v>0</v>
      </c>
      <c r="D143" s="99"/>
      <c r="E143" s="99"/>
      <c r="F143" s="99"/>
      <c r="G143" s="99"/>
      <c r="H143" s="99"/>
      <c r="I143" s="99"/>
    </row>
    <row r="144" spans="1:9" ht="12" customHeight="1" x14ac:dyDescent="0.25">
      <c r="A144" s="12" t="s">
        <v>127</v>
      </c>
      <c r="B144" s="6" t="s">
        <v>419</v>
      </c>
      <c r="C144" s="279">
        <f t="shared" si="21"/>
        <v>0</v>
      </c>
      <c r="D144" s="99"/>
      <c r="E144" s="99"/>
      <c r="F144" s="99"/>
      <c r="G144" s="99"/>
      <c r="H144" s="99"/>
      <c r="I144" s="99"/>
    </row>
    <row r="145" spans="1:12" ht="12" customHeight="1" thickBot="1" x14ac:dyDescent="0.3">
      <c r="A145" s="10" t="s">
        <v>128</v>
      </c>
      <c r="B145" s="6" t="s">
        <v>420</v>
      </c>
      <c r="C145" s="280">
        <f t="shared" si="21"/>
        <v>0</v>
      </c>
      <c r="D145" s="99"/>
      <c r="E145" s="99"/>
      <c r="F145" s="99"/>
      <c r="G145" s="99"/>
      <c r="H145" s="99"/>
      <c r="I145" s="99"/>
    </row>
    <row r="146" spans="1:12" ht="12" customHeight="1" thickBot="1" x14ac:dyDescent="0.3">
      <c r="A146" s="17" t="s">
        <v>21</v>
      </c>
      <c r="B146" s="54" t="s">
        <v>421</v>
      </c>
      <c r="C146" s="110">
        <f t="shared" si="21"/>
        <v>55076107</v>
      </c>
      <c r="D146" s="259">
        <f t="shared" ref="D146:I146" si="27">+D147+D148+D149+D150</f>
        <v>55076107</v>
      </c>
      <c r="E146" s="115">
        <f t="shared" si="27"/>
        <v>0</v>
      </c>
      <c r="F146" s="115">
        <f t="shared" si="27"/>
        <v>0</v>
      </c>
      <c r="G146" s="115">
        <f t="shared" si="27"/>
        <v>0</v>
      </c>
      <c r="H146" s="115">
        <f t="shared" si="27"/>
        <v>0</v>
      </c>
      <c r="I146" s="115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6">
        <f t="shared" si="21"/>
        <v>0</v>
      </c>
      <c r="D147" s="99"/>
      <c r="E147" s="99"/>
      <c r="F147" s="99"/>
      <c r="G147" s="99"/>
      <c r="H147" s="99"/>
      <c r="I147" s="99"/>
    </row>
    <row r="148" spans="1:12" ht="12" customHeight="1" x14ac:dyDescent="0.25">
      <c r="A148" s="12" t="s">
        <v>82</v>
      </c>
      <c r="B148" s="6" t="s">
        <v>305</v>
      </c>
      <c r="C148" s="276">
        <f t="shared" si="21"/>
        <v>55076107</v>
      </c>
      <c r="D148" s="99">
        <v>55076107</v>
      </c>
      <c r="E148" s="99"/>
      <c r="F148" s="99"/>
      <c r="G148" s="99"/>
      <c r="H148" s="99"/>
      <c r="I148" s="99"/>
    </row>
    <row r="149" spans="1:12" ht="12" customHeight="1" x14ac:dyDescent="0.25">
      <c r="A149" s="12" t="s">
        <v>218</v>
      </c>
      <c r="B149" s="6" t="s">
        <v>422</v>
      </c>
      <c r="C149" s="279">
        <f t="shared" si="21"/>
        <v>0</v>
      </c>
      <c r="D149" s="99"/>
      <c r="E149" s="99"/>
      <c r="F149" s="99"/>
      <c r="G149" s="99"/>
      <c r="H149" s="99"/>
      <c r="I149" s="99"/>
    </row>
    <row r="150" spans="1:12" ht="12" customHeight="1" thickBot="1" x14ac:dyDescent="0.3">
      <c r="A150" s="10" t="s">
        <v>219</v>
      </c>
      <c r="B150" s="4" t="s">
        <v>323</v>
      </c>
      <c r="C150" s="280">
        <f t="shared" si="21"/>
        <v>0</v>
      </c>
      <c r="D150" s="99"/>
      <c r="E150" s="99"/>
      <c r="F150" s="99"/>
      <c r="G150" s="99"/>
      <c r="H150" s="99"/>
      <c r="I150" s="99"/>
    </row>
    <row r="151" spans="1:12" ht="12" customHeight="1" thickBot="1" x14ac:dyDescent="0.3">
      <c r="A151" s="17" t="s">
        <v>22</v>
      </c>
      <c r="B151" s="54" t="s">
        <v>423</v>
      </c>
      <c r="C151" s="281">
        <f t="shared" si="21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6">
        <f t="shared" si="21"/>
        <v>0</v>
      </c>
      <c r="D152" s="99"/>
      <c r="E152" s="99"/>
      <c r="F152" s="99"/>
      <c r="G152" s="99"/>
      <c r="H152" s="99"/>
      <c r="I152" s="99"/>
    </row>
    <row r="153" spans="1:12" ht="12" customHeight="1" x14ac:dyDescent="0.25">
      <c r="A153" s="12" t="s">
        <v>84</v>
      </c>
      <c r="B153" s="6" t="s">
        <v>425</v>
      </c>
      <c r="C153" s="279">
        <f t="shared" si="21"/>
        <v>0</v>
      </c>
      <c r="D153" s="99"/>
      <c r="E153" s="99"/>
      <c r="F153" s="99"/>
      <c r="G153" s="99"/>
      <c r="H153" s="99"/>
      <c r="I153" s="99"/>
    </row>
    <row r="154" spans="1:12" ht="12" customHeight="1" x14ac:dyDescent="0.25">
      <c r="A154" s="12" t="s">
        <v>230</v>
      </c>
      <c r="B154" s="6" t="s">
        <v>426</v>
      </c>
      <c r="C154" s="279">
        <f t="shared" si="21"/>
        <v>0</v>
      </c>
      <c r="D154" s="99"/>
      <c r="E154" s="99"/>
      <c r="F154" s="99"/>
      <c r="G154" s="99"/>
      <c r="H154" s="99"/>
      <c r="I154" s="99"/>
    </row>
    <row r="155" spans="1:12" ht="12" customHeight="1" x14ac:dyDescent="0.25">
      <c r="A155" s="12" t="s">
        <v>231</v>
      </c>
      <c r="B155" s="6" t="s">
        <v>427</v>
      </c>
      <c r="C155" s="279">
        <f t="shared" si="21"/>
        <v>0</v>
      </c>
      <c r="D155" s="99"/>
      <c r="E155" s="99"/>
      <c r="F155" s="99"/>
      <c r="G155" s="99"/>
      <c r="H155" s="99"/>
      <c r="I155" s="99"/>
    </row>
    <row r="156" spans="1:12" ht="12" customHeight="1" thickBot="1" x14ac:dyDescent="0.3">
      <c r="A156" s="12" t="s">
        <v>428</v>
      </c>
      <c r="B156" s="6" t="s">
        <v>429</v>
      </c>
      <c r="C156" s="280">
        <f t="shared" si="21"/>
        <v>0</v>
      </c>
      <c r="D156" s="100"/>
      <c r="E156" s="100"/>
      <c r="F156" s="99"/>
      <c r="G156" s="99"/>
      <c r="H156" s="99"/>
      <c r="I156" s="99"/>
    </row>
    <row r="157" spans="1:12" ht="12" customHeight="1" thickBot="1" x14ac:dyDescent="0.3">
      <c r="A157" s="17" t="s">
        <v>23</v>
      </c>
      <c r="B157" s="54" t="s">
        <v>430</v>
      </c>
      <c r="C157" s="110">
        <f t="shared" si="21"/>
        <v>0</v>
      </c>
      <c r="D157" s="264"/>
      <c r="E157" s="118"/>
      <c r="F157" s="243"/>
      <c r="G157" s="243"/>
      <c r="H157" s="243"/>
      <c r="I157" s="243"/>
    </row>
    <row r="158" spans="1:12" ht="12" customHeight="1" thickBot="1" x14ac:dyDescent="0.3">
      <c r="A158" s="17" t="s">
        <v>24</v>
      </c>
      <c r="B158" s="54" t="s">
        <v>431</v>
      </c>
      <c r="C158" s="109">
        <f t="shared" si="21"/>
        <v>0</v>
      </c>
      <c r="D158" s="264"/>
      <c r="E158" s="118"/>
      <c r="F158" s="243"/>
      <c r="G158" s="243"/>
      <c r="H158" s="243"/>
      <c r="I158" s="243"/>
    </row>
    <row r="159" spans="1:12" ht="15" customHeight="1" thickBot="1" x14ac:dyDescent="0.3">
      <c r="A159" s="17" t="s">
        <v>25</v>
      </c>
      <c r="B159" s="54" t="s">
        <v>432</v>
      </c>
      <c r="C159" s="109">
        <f t="shared" si="21"/>
        <v>1126136403</v>
      </c>
      <c r="D159" s="265">
        <f t="shared" ref="D159:I159" si="28">+D135+D139+D146+D151+D157+D158</f>
        <v>1126136403</v>
      </c>
      <c r="E159" s="189">
        <f t="shared" si="28"/>
        <v>0</v>
      </c>
      <c r="F159" s="189">
        <f t="shared" si="28"/>
        <v>0</v>
      </c>
      <c r="G159" s="189">
        <f t="shared" si="28"/>
        <v>0</v>
      </c>
      <c r="H159" s="189">
        <f t="shared" si="28"/>
        <v>0</v>
      </c>
      <c r="I159" s="189">
        <f t="shared" si="28"/>
        <v>0</v>
      </c>
      <c r="J159" s="190"/>
      <c r="K159" s="190"/>
      <c r="L159" s="190"/>
    </row>
    <row r="160" spans="1:12" s="179" customFormat="1" ht="12.95" customHeight="1" thickBot="1" x14ac:dyDescent="0.25">
      <c r="A160" s="108" t="s">
        <v>26</v>
      </c>
      <c r="B160" s="166" t="s">
        <v>433</v>
      </c>
      <c r="C160" s="110">
        <f>SUM(D160:I160)</f>
        <v>6622900469</v>
      </c>
      <c r="D160" s="265">
        <f t="shared" ref="D160:I160" si="29">+D134+D159</f>
        <v>5506346143</v>
      </c>
      <c r="E160" s="189">
        <f t="shared" si="29"/>
        <v>228163479</v>
      </c>
      <c r="F160" s="189">
        <f t="shared" si="29"/>
        <v>386086999</v>
      </c>
      <c r="G160" s="189">
        <f t="shared" si="29"/>
        <v>154605245</v>
      </c>
      <c r="H160" s="189">
        <f t="shared" si="29"/>
        <v>135080805</v>
      </c>
      <c r="I160" s="189">
        <f t="shared" si="29"/>
        <v>212617798</v>
      </c>
    </row>
    <row r="161" spans="1:9" x14ac:dyDescent="0.25">
      <c r="A161" s="1324" t="s">
        <v>306</v>
      </c>
      <c r="B161" s="1324"/>
      <c r="C161" s="1324"/>
    </row>
    <row r="162" spans="1:9" ht="9.75" customHeight="1" thickBot="1" x14ac:dyDescent="0.3">
      <c r="A162" s="1327" t="s">
        <v>116</v>
      </c>
      <c r="B162" s="1327"/>
      <c r="C162" s="119" t="s">
        <v>487</v>
      </c>
    </row>
    <row r="163" spans="1:9" ht="21" customHeight="1" thickBot="1" x14ac:dyDescent="0.3">
      <c r="A163" s="17">
        <v>1</v>
      </c>
      <c r="B163" s="22" t="s">
        <v>434</v>
      </c>
      <c r="C163" s="110">
        <f>+C69-C134</f>
        <v>-1943649250</v>
      </c>
    </row>
    <row r="164" spans="1:9" ht="21.75" thickBot="1" x14ac:dyDescent="0.3">
      <c r="A164" s="17" t="s">
        <v>17</v>
      </c>
      <c r="B164" s="22" t="s">
        <v>715</v>
      </c>
      <c r="C164" s="110">
        <f>+C93-C159</f>
        <v>2544419984</v>
      </c>
    </row>
    <row r="165" spans="1:9" x14ac:dyDescent="0.25">
      <c r="I165" s="28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activeCell="B5" sqref="B5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85" t="str">
        <f>CONCATENATE("21. melléklet"," ",ALAPADATOK!A7," ",ALAPADATOK!B7," ",ALAPADATOK!C7," ",ALAPADATOK!D7," ",ALAPADATOK!E7," ",ALAPADATOK!F7," ",ALAPADATOK!G7," ",ALAPADATOK!H7)</f>
        <v>21. melléklet az 5 / 2022. ( II.24. ) önkormányzati rendelethez</v>
      </c>
      <c r="B1" s="1385"/>
      <c r="C1" s="1385"/>
    </row>
    <row r="2" spans="1:3" s="1" customFormat="1" ht="21" customHeight="1" x14ac:dyDescent="0.2">
      <c r="A2" s="75"/>
      <c r="B2" s="76"/>
      <c r="C2" s="310"/>
    </row>
    <row r="3" spans="1:3" s="37" customFormat="1" ht="35.25" customHeight="1" thickBot="1" x14ac:dyDescent="0.25">
      <c r="A3" s="1335" t="s">
        <v>904</v>
      </c>
      <c r="B3" s="1335"/>
      <c r="C3" s="1335"/>
    </row>
    <row r="4" spans="1:3" ht="13.5" thickBot="1" x14ac:dyDescent="0.25">
      <c r="A4" s="172" t="s">
        <v>153</v>
      </c>
      <c r="B4" s="79" t="s">
        <v>50</v>
      </c>
      <c r="C4" s="314" t="s">
        <v>895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4">
        <f>SUM(C8:C18)</f>
        <v>15323898</v>
      </c>
    </row>
    <row r="8" spans="1:3" s="38" customFormat="1" ht="12" customHeight="1" x14ac:dyDescent="0.2">
      <c r="A8" s="206" t="s">
        <v>85</v>
      </c>
      <c r="B8" s="7" t="s">
        <v>207</v>
      </c>
      <c r="C8" s="525"/>
    </row>
    <row r="9" spans="1:3" s="38" customFormat="1" ht="12" customHeight="1" x14ac:dyDescent="0.2">
      <c r="A9" s="207" t="s">
        <v>86</v>
      </c>
      <c r="B9" s="5" t="s">
        <v>208</v>
      </c>
      <c r="C9" s="526">
        <f>10424400+800000+691661</f>
        <v>11916061</v>
      </c>
    </row>
    <row r="10" spans="1:3" s="38" customFormat="1" ht="12" customHeight="1" x14ac:dyDescent="0.2">
      <c r="A10" s="207" t="s">
        <v>87</v>
      </c>
      <c r="B10" s="5" t="s">
        <v>209</v>
      </c>
      <c r="C10" s="526">
        <v>150000</v>
      </c>
    </row>
    <row r="11" spans="1:3" s="38" customFormat="1" ht="12" customHeight="1" x14ac:dyDescent="0.2">
      <c r="A11" s="207" t="s">
        <v>88</v>
      </c>
      <c r="B11" s="5" t="s">
        <v>210</v>
      </c>
      <c r="C11" s="526"/>
    </row>
    <row r="12" spans="1:3" s="38" customFormat="1" ht="12" customHeight="1" x14ac:dyDescent="0.2">
      <c r="A12" s="207" t="s">
        <v>111</v>
      </c>
      <c r="B12" s="5" t="s">
        <v>211</v>
      </c>
      <c r="C12" s="526"/>
    </row>
    <row r="13" spans="1:3" s="38" customFormat="1" ht="12" customHeight="1" x14ac:dyDescent="0.2">
      <c r="A13" s="207" t="s">
        <v>89</v>
      </c>
      <c r="B13" s="5" t="s">
        <v>331</v>
      </c>
      <c r="C13" s="526">
        <f>2855088+216000+186749</f>
        <v>3257837</v>
      </c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527"/>
    </row>
    <row r="16" spans="1:3" s="39" customFormat="1" ht="12" customHeight="1" x14ac:dyDescent="0.2">
      <c r="A16" s="207" t="s">
        <v>101</v>
      </c>
      <c r="B16" s="5" t="s">
        <v>215</v>
      </c>
      <c r="C16" s="526"/>
    </row>
    <row r="17" spans="1:3" s="39" customFormat="1" ht="12" customHeight="1" x14ac:dyDescent="0.2">
      <c r="A17" s="207" t="s">
        <v>102</v>
      </c>
      <c r="B17" s="5" t="s">
        <v>391</v>
      </c>
      <c r="C17" s="528"/>
    </row>
    <row r="18" spans="1:3" s="39" customFormat="1" ht="12" customHeight="1" thickBot="1" x14ac:dyDescent="0.25">
      <c r="A18" s="207" t="s">
        <v>103</v>
      </c>
      <c r="B18" s="4" t="s">
        <v>216</v>
      </c>
      <c r="C18" s="528"/>
    </row>
    <row r="19" spans="1:3" s="38" customFormat="1" ht="12" customHeight="1" thickBot="1" x14ac:dyDescent="0.25">
      <c r="A19" s="71" t="s">
        <v>17</v>
      </c>
      <c r="B19" s="84" t="s">
        <v>333</v>
      </c>
      <c r="C19" s="5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29"/>
    </row>
    <row r="21" spans="1:3" s="39" customFormat="1" ht="12" customHeight="1" x14ac:dyDescent="0.2">
      <c r="A21" s="207" t="s">
        <v>92</v>
      </c>
      <c r="B21" s="5" t="s">
        <v>334</v>
      </c>
      <c r="C21" s="526"/>
    </row>
    <row r="22" spans="1:3" s="39" customFormat="1" ht="12" customHeight="1" x14ac:dyDescent="0.2">
      <c r="A22" s="207" t="s">
        <v>93</v>
      </c>
      <c r="B22" s="5" t="s">
        <v>335</v>
      </c>
      <c r="C22" s="526"/>
    </row>
    <row r="23" spans="1:3" s="39" customFormat="1" ht="12" customHeight="1" thickBot="1" x14ac:dyDescent="0.25">
      <c r="A23" s="207" t="s">
        <v>94</v>
      </c>
      <c r="B23" s="5" t="s">
        <v>462</v>
      </c>
      <c r="C23" s="526"/>
    </row>
    <row r="24" spans="1:3" s="39" customFormat="1" ht="12" customHeight="1" thickBot="1" x14ac:dyDescent="0.25">
      <c r="A24" s="74" t="s">
        <v>18</v>
      </c>
      <c r="B24" s="54" t="s">
        <v>125</v>
      </c>
      <c r="C24" s="531"/>
    </row>
    <row r="25" spans="1:3" s="39" customFormat="1" ht="12" customHeight="1" thickBot="1" x14ac:dyDescent="0.25">
      <c r="A25" s="74" t="s">
        <v>19</v>
      </c>
      <c r="B25" s="54" t="s">
        <v>463</v>
      </c>
      <c r="C25" s="5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2"/>
    </row>
    <row r="27" spans="1:3" s="39" customFormat="1" ht="12" customHeight="1" x14ac:dyDescent="0.2">
      <c r="A27" s="208" t="s">
        <v>198</v>
      </c>
      <c r="B27" s="209" t="s">
        <v>334</v>
      </c>
      <c r="C27" s="529"/>
    </row>
    <row r="28" spans="1:3" s="39" customFormat="1" ht="12" customHeight="1" x14ac:dyDescent="0.2">
      <c r="A28" s="208" t="s">
        <v>199</v>
      </c>
      <c r="B28" s="210" t="s">
        <v>336</v>
      </c>
      <c r="C28" s="529"/>
    </row>
    <row r="29" spans="1:3" s="39" customFormat="1" ht="12" customHeight="1" thickBot="1" x14ac:dyDescent="0.25">
      <c r="A29" s="207" t="s">
        <v>200</v>
      </c>
      <c r="B29" s="57" t="s">
        <v>464</v>
      </c>
      <c r="C29" s="533"/>
    </row>
    <row r="30" spans="1:3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2"/>
    </row>
    <row r="32" spans="1:3" s="39" customFormat="1" ht="12" customHeight="1" x14ac:dyDescent="0.2">
      <c r="A32" s="208" t="s">
        <v>79</v>
      </c>
      <c r="B32" s="210" t="s">
        <v>222</v>
      </c>
      <c r="C32" s="527"/>
    </row>
    <row r="33" spans="1:3" s="38" customFormat="1" ht="12" customHeight="1" thickBot="1" x14ac:dyDescent="0.25">
      <c r="A33" s="207" t="s">
        <v>80</v>
      </c>
      <c r="B33" s="57" t="s">
        <v>223</v>
      </c>
      <c r="C33" s="533"/>
    </row>
    <row r="34" spans="1:3" s="38" customFormat="1" ht="12" customHeight="1" thickBot="1" x14ac:dyDescent="0.25">
      <c r="A34" s="74" t="s">
        <v>21</v>
      </c>
      <c r="B34" s="54" t="s">
        <v>309</v>
      </c>
      <c r="C34" s="728"/>
    </row>
    <row r="35" spans="1:3" s="38" customFormat="1" ht="12" customHeight="1" thickBot="1" x14ac:dyDescent="0.25">
      <c r="A35" s="74" t="s">
        <v>22</v>
      </c>
      <c r="B35" s="54" t="s">
        <v>338</v>
      </c>
      <c r="C35" s="534"/>
    </row>
    <row r="36" spans="1:3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15323898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35">
        <f>+C38+C39+C40</f>
        <v>203950836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v>6815786</v>
      </c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533">
        <f>192372524+4762526</f>
        <v>197135050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2">
        <f>+C36+C37</f>
        <v>219274734</v>
      </c>
    </row>
    <row r="42" spans="1:3" s="213" customFormat="1" ht="12" customHeight="1" thickBot="1" x14ac:dyDescent="0.25">
      <c r="A42" s="91"/>
      <c r="B42" s="92" t="s">
        <v>53</v>
      </c>
      <c r="C42" s="536"/>
    </row>
    <row r="43" spans="1:3" ht="12" customHeight="1" thickBot="1" x14ac:dyDescent="0.25">
      <c r="A43" s="74" t="s">
        <v>16</v>
      </c>
      <c r="B43" s="54" t="s">
        <v>346</v>
      </c>
      <c r="C43" s="524">
        <f>SUM(C44:C48)</f>
        <v>209997602</v>
      </c>
    </row>
    <row r="44" spans="1:3" ht="12" customHeight="1" x14ac:dyDescent="0.2">
      <c r="A44" s="207" t="s">
        <v>85</v>
      </c>
      <c r="B44" s="6" t="s">
        <v>46</v>
      </c>
      <c r="C44" s="34">
        <f>161362216-383189-7546754</f>
        <v>153432273</v>
      </c>
    </row>
    <row r="45" spans="1:3" ht="12" customHeight="1" x14ac:dyDescent="0.2">
      <c r="A45" s="207" t="s">
        <v>86</v>
      </c>
      <c r="B45" s="5" t="s">
        <v>134</v>
      </c>
      <c r="C45" s="36">
        <f>22075780-49815-981078</f>
        <v>21044887</v>
      </c>
    </row>
    <row r="46" spans="1:3" ht="12" customHeight="1" x14ac:dyDescent="0.2">
      <c r="A46" s="207" t="s">
        <v>87</v>
      </c>
      <c r="B46" s="5" t="s">
        <v>110</v>
      </c>
      <c r="C46" s="526">
        <f>28430502+433004+1016000+878410+4762526</f>
        <v>35520442</v>
      </c>
    </row>
    <row r="47" spans="1:3" ht="12" customHeight="1" x14ac:dyDescent="0.2">
      <c r="A47" s="207" t="s">
        <v>88</v>
      </c>
      <c r="B47" s="5" t="s">
        <v>135</v>
      </c>
      <c r="C47" s="526"/>
    </row>
    <row r="48" spans="1:3" ht="12" customHeight="1" thickBot="1" x14ac:dyDescent="0.25">
      <c r="A48" s="207" t="s">
        <v>111</v>
      </c>
      <c r="B48" s="5" t="s">
        <v>136</v>
      </c>
      <c r="C48" s="526"/>
    </row>
    <row r="49" spans="1:3" s="213" customFormat="1" ht="12" customHeight="1" thickBot="1" x14ac:dyDescent="0.25">
      <c r="A49" s="74" t="s">
        <v>17</v>
      </c>
      <c r="B49" s="54" t="s">
        <v>347</v>
      </c>
      <c r="C49" s="524">
        <f>SUM(C50:C52)</f>
        <v>749300</v>
      </c>
    </row>
    <row r="50" spans="1:3" ht="12" customHeight="1" x14ac:dyDescent="0.2">
      <c r="A50" s="207" t="s">
        <v>91</v>
      </c>
      <c r="B50" s="6" t="s">
        <v>157</v>
      </c>
      <c r="C50" s="532">
        <v>749300</v>
      </c>
    </row>
    <row r="51" spans="1:3" ht="12" customHeight="1" x14ac:dyDescent="0.2">
      <c r="A51" s="207" t="s">
        <v>92</v>
      </c>
      <c r="B51" s="5" t="s">
        <v>138</v>
      </c>
      <c r="C51" s="526"/>
    </row>
    <row r="52" spans="1:3" ht="12" customHeight="1" x14ac:dyDescent="0.2">
      <c r="A52" s="207" t="s">
        <v>93</v>
      </c>
      <c r="B52" s="5" t="s">
        <v>54</v>
      </c>
      <c r="C52" s="526"/>
    </row>
    <row r="53" spans="1:3" ht="15" customHeight="1" thickBot="1" x14ac:dyDescent="0.25">
      <c r="A53" s="207" t="s">
        <v>94</v>
      </c>
      <c r="B53" s="5" t="s">
        <v>465</v>
      </c>
      <c r="C53" s="526"/>
    </row>
    <row r="54" spans="1:3" ht="13.5" thickBot="1" x14ac:dyDescent="0.25">
      <c r="A54" s="74" t="s">
        <v>18</v>
      </c>
      <c r="B54" s="54" t="s">
        <v>12</v>
      </c>
      <c r="C54" s="531"/>
    </row>
    <row r="55" spans="1:3" ht="15" customHeight="1" thickBot="1" x14ac:dyDescent="0.25">
      <c r="A55" s="74" t="s">
        <v>19</v>
      </c>
      <c r="B55" s="93" t="s">
        <v>466</v>
      </c>
      <c r="C55" s="124">
        <f>+C43+C49+C54</f>
        <v>210746902</v>
      </c>
    </row>
    <row r="56" spans="1:3" ht="13.5" thickBot="1" x14ac:dyDescent="0.25">
      <c r="A56" s="95" t="s">
        <v>459</v>
      </c>
      <c r="B56" s="96"/>
      <c r="C56" s="541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0" zoomScaleNormal="14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5" style="304" bestFit="1" customWidth="1"/>
    <col min="5" max="5" width="10.83203125" style="304" bestFit="1" customWidth="1"/>
    <col min="6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85" t="str">
        <f>CONCATENATE("22. melléklet"," ",ALAPADATOK!A7," ",ALAPADATOK!B7," ",ALAPADATOK!C7," ",ALAPADATOK!D8," ",ALAPADATOK!E7," ",ALAPADATOK!F7," ",ALAPADATOK!G7," ",ALAPADATOK!H7)</f>
        <v>22. melléklet az 5 / 2023. ( II.24. ) önkormányzati rendelethez</v>
      </c>
      <c r="B1" s="1385"/>
      <c r="C1" s="1385"/>
    </row>
    <row r="2" spans="1:3" s="1" customFormat="1" ht="21" customHeight="1" x14ac:dyDescent="0.2">
      <c r="A2" s="75"/>
      <c r="B2" s="76"/>
      <c r="C2" s="310"/>
    </row>
    <row r="3" spans="1:3" s="37" customFormat="1" ht="34.5" customHeight="1" thickBot="1" x14ac:dyDescent="0.25">
      <c r="A3" s="1335" t="s">
        <v>905</v>
      </c>
      <c r="B3" s="1335"/>
      <c r="C3" s="1335"/>
    </row>
    <row r="4" spans="1:3" ht="13.5" thickBot="1" x14ac:dyDescent="0.25">
      <c r="A4" s="172" t="s">
        <v>153</v>
      </c>
      <c r="B4" s="79" t="s">
        <v>50</v>
      </c>
      <c r="C4" s="314" t="s">
        <v>895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4">
        <f>SUM(C8:C18)</f>
        <v>186194209</v>
      </c>
    </row>
    <row r="8" spans="1:3" s="38" customFormat="1" ht="12" customHeight="1" x14ac:dyDescent="0.2">
      <c r="A8" s="206" t="s">
        <v>85</v>
      </c>
      <c r="B8" s="7" t="s">
        <v>207</v>
      </c>
      <c r="C8" s="525"/>
    </row>
    <row r="9" spans="1:3" s="38" customFormat="1" ht="12" customHeight="1" x14ac:dyDescent="0.2">
      <c r="A9" s="207" t="s">
        <v>86</v>
      </c>
      <c r="B9" s="5" t="s">
        <v>208</v>
      </c>
      <c r="C9" s="526">
        <v>2120000</v>
      </c>
    </row>
    <row r="10" spans="1:3" s="38" customFormat="1" ht="12" customHeight="1" x14ac:dyDescent="0.2">
      <c r="A10" s="207" t="s">
        <v>87</v>
      </c>
      <c r="B10" s="5" t="s">
        <v>209</v>
      </c>
      <c r="C10" s="526">
        <v>10000000</v>
      </c>
    </row>
    <row r="11" spans="1:3" s="38" customFormat="1" ht="12" customHeight="1" x14ac:dyDescent="0.2">
      <c r="A11" s="207" t="s">
        <v>88</v>
      </c>
      <c r="B11" s="5" t="s">
        <v>210</v>
      </c>
      <c r="C11" s="526"/>
    </row>
    <row r="12" spans="1:3" s="38" customFormat="1" ht="12" customHeight="1" x14ac:dyDescent="0.2">
      <c r="A12" s="207" t="s">
        <v>111</v>
      </c>
      <c r="B12" s="5" t="s">
        <v>211</v>
      </c>
      <c r="C12" s="674">
        <f>163364832+4006980+5424030</f>
        <v>172795842</v>
      </c>
    </row>
    <row r="13" spans="1:3" s="38" customFormat="1" ht="12" customHeight="1" x14ac:dyDescent="0.2">
      <c r="A13" s="207" t="s">
        <v>89</v>
      </c>
      <c r="B13" s="5" t="s">
        <v>331</v>
      </c>
      <c r="C13" s="526">
        <v>929136</v>
      </c>
    </row>
    <row r="14" spans="1:3" s="38" customFormat="1" ht="12" customHeight="1" x14ac:dyDescent="0.2">
      <c r="A14" s="207" t="s">
        <v>90</v>
      </c>
      <c r="B14" s="4" t="s">
        <v>332</v>
      </c>
      <c r="C14" s="526"/>
    </row>
    <row r="15" spans="1:3" s="38" customFormat="1" ht="12" customHeight="1" x14ac:dyDescent="0.2">
      <c r="A15" s="207" t="s">
        <v>100</v>
      </c>
      <c r="B15" s="5" t="s">
        <v>214</v>
      </c>
      <c r="C15" s="527"/>
    </row>
    <row r="16" spans="1:3" s="39" customFormat="1" ht="12" customHeight="1" x14ac:dyDescent="0.2">
      <c r="A16" s="207" t="s">
        <v>101</v>
      </c>
      <c r="B16" s="5" t="s">
        <v>215</v>
      </c>
      <c r="C16" s="526"/>
    </row>
    <row r="17" spans="1:3" s="39" customFormat="1" ht="12" customHeight="1" x14ac:dyDescent="0.2">
      <c r="A17" s="207" t="s">
        <v>102</v>
      </c>
      <c r="B17" s="5" t="s">
        <v>391</v>
      </c>
      <c r="C17" s="528"/>
    </row>
    <row r="18" spans="1:3" s="39" customFormat="1" ht="12" customHeight="1" thickBot="1" x14ac:dyDescent="0.25">
      <c r="A18" s="207" t="s">
        <v>103</v>
      </c>
      <c r="B18" s="4" t="s">
        <v>216</v>
      </c>
      <c r="C18" s="1277">
        <f>273261+75970</f>
        <v>349231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73090010</v>
      </c>
    </row>
    <row r="20" spans="1:3" s="39" customFormat="1" ht="12" customHeight="1" x14ac:dyDescent="0.2">
      <c r="A20" s="207" t="s">
        <v>91</v>
      </c>
      <c r="B20" s="6" t="s">
        <v>185</v>
      </c>
      <c r="C20" s="36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36">
        <f>51102780+21987230</f>
        <v>73090010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526"/>
    </row>
    <row r="24" spans="1:3" s="39" customFormat="1" ht="12" customHeight="1" thickBot="1" x14ac:dyDescent="0.25">
      <c r="A24" s="74" t="s">
        <v>18</v>
      </c>
      <c r="B24" s="54" t="s">
        <v>125</v>
      </c>
      <c r="C24" s="531"/>
    </row>
    <row r="25" spans="1:3" s="39" customFormat="1" ht="12" customHeight="1" thickBot="1" x14ac:dyDescent="0.25">
      <c r="A25" s="74" t="s">
        <v>19</v>
      </c>
      <c r="B25" s="54" t="s">
        <v>463</v>
      </c>
      <c r="C25" s="524">
        <f>+C26+C27+C28</f>
        <v>18860990</v>
      </c>
    </row>
    <row r="26" spans="1:3" s="39" customFormat="1" ht="12" customHeight="1" x14ac:dyDescent="0.2">
      <c r="A26" s="208" t="s">
        <v>195</v>
      </c>
      <c r="B26" s="209" t="s">
        <v>190</v>
      </c>
      <c r="C26" s="532"/>
    </row>
    <row r="27" spans="1:3" s="39" customFormat="1" ht="12" customHeight="1" x14ac:dyDescent="0.2">
      <c r="A27" s="208" t="s">
        <v>198</v>
      </c>
      <c r="B27" s="209" t="s">
        <v>334</v>
      </c>
      <c r="C27" s="529"/>
    </row>
    <row r="28" spans="1:3" s="39" customFormat="1" ht="12" customHeight="1" x14ac:dyDescent="0.2">
      <c r="A28" s="208" t="s">
        <v>199</v>
      </c>
      <c r="B28" s="210" t="s">
        <v>336</v>
      </c>
      <c r="C28" s="526">
        <v>18860990</v>
      </c>
    </row>
    <row r="29" spans="1:3" s="39" customFormat="1" ht="12" customHeight="1" thickBot="1" x14ac:dyDescent="0.25">
      <c r="A29" s="207" t="s">
        <v>200</v>
      </c>
      <c r="B29" s="57" t="s">
        <v>464</v>
      </c>
      <c r="C29" s="533"/>
    </row>
    <row r="30" spans="1:3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2"/>
    </row>
    <row r="32" spans="1:3" s="39" customFormat="1" ht="12" customHeight="1" x14ac:dyDescent="0.2">
      <c r="A32" s="208" t="s">
        <v>79</v>
      </c>
      <c r="B32" s="210" t="s">
        <v>222</v>
      </c>
      <c r="C32" s="527"/>
    </row>
    <row r="33" spans="1:3" s="38" customFormat="1" ht="12" customHeight="1" thickBot="1" x14ac:dyDescent="0.25">
      <c r="A33" s="207" t="s">
        <v>80</v>
      </c>
      <c r="B33" s="57" t="s">
        <v>223</v>
      </c>
      <c r="C33" s="533"/>
    </row>
    <row r="34" spans="1:3" s="38" customFormat="1" ht="12" customHeight="1" thickBot="1" x14ac:dyDescent="0.25">
      <c r="A34" s="74" t="s">
        <v>21</v>
      </c>
      <c r="B34" s="54" t="s">
        <v>309</v>
      </c>
      <c r="C34" s="531">
        <v>456096</v>
      </c>
    </row>
    <row r="35" spans="1:3" s="38" customFormat="1" ht="12" customHeight="1" thickBot="1" x14ac:dyDescent="0.25">
      <c r="A35" s="74" t="s">
        <v>22</v>
      </c>
      <c r="B35" s="54" t="s">
        <v>338</v>
      </c>
      <c r="C35" s="739">
        <v>200000</v>
      </c>
    </row>
    <row r="36" spans="1:3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278801305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35">
        <f>+C38+C39+C40</f>
        <v>665540771</v>
      </c>
    </row>
    <row r="38" spans="1:3" s="38" customFormat="1" ht="12" customHeight="1" x14ac:dyDescent="0.2">
      <c r="A38" s="208" t="s">
        <v>341</v>
      </c>
      <c r="B38" s="209" t="s">
        <v>166</v>
      </c>
      <c r="C38" s="532">
        <v>47181164</v>
      </c>
    </row>
    <row r="39" spans="1:3" s="39" customFormat="1" ht="12" customHeight="1" x14ac:dyDescent="0.2">
      <c r="A39" s="208" t="s">
        <v>342</v>
      </c>
      <c r="B39" s="210" t="s">
        <v>6</v>
      </c>
      <c r="C39" s="527"/>
    </row>
    <row r="40" spans="1:3" s="39" customFormat="1" ht="15" customHeight="1" thickBot="1" x14ac:dyDescent="0.25">
      <c r="A40" s="207" t="s">
        <v>343</v>
      </c>
      <c r="B40" s="57" t="s">
        <v>344</v>
      </c>
      <c r="C40" s="887">
        <f>591482853+315628+32061126-5500000</f>
        <v>618359607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2">
        <f>+C36+C37</f>
        <v>944342076</v>
      </c>
    </row>
    <row r="42" spans="1:3" s="213" customFormat="1" ht="12" customHeight="1" thickBot="1" x14ac:dyDescent="0.25">
      <c r="A42" s="91"/>
      <c r="B42" s="92" t="s">
        <v>53</v>
      </c>
      <c r="C42" s="536"/>
    </row>
    <row r="43" spans="1:3" ht="12" customHeight="1" thickBot="1" x14ac:dyDescent="0.25">
      <c r="A43" s="74" t="s">
        <v>16</v>
      </c>
      <c r="B43" s="54" t="s">
        <v>346</v>
      </c>
      <c r="C43" s="670">
        <f>SUM(C44:C48)</f>
        <v>928678714</v>
      </c>
    </row>
    <row r="44" spans="1:3" ht="12" customHeight="1" x14ac:dyDescent="0.2">
      <c r="A44" s="207" t="s">
        <v>85</v>
      </c>
      <c r="B44" s="6" t="s">
        <v>46</v>
      </c>
      <c r="C44" s="34">
        <f>545688119-7546754+7546754-11142770</f>
        <v>534545349</v>
      </c>
    </row>
    <row r="45" spans="1:3" ht="12" customHeight="1" x14ac:dyDescent="0.2">
      <c r="A45" s="207" t="s">
        <v>86</v>
      </c>
      <c r="B45" s="5" t="s">
        <v>134</v>
      </c>
      <c r="C45" s="36">
        <f>77691785-981078+981078+1030000</f>
        <v>78721785</v>
      </c>
    </row>
    <row r="46" spans="1:3" ht="12" customHeight="1" x14ac:dyDescent="0.2">
      <c r="A46" s="207" t="s">
        <v>87</v>
      </c>
      <c r="B46" s="5" t="s">
        <v>110</v>
      </c>
      <c r="C46" s="36">
        <f>236667210+315628+8527832-501292+456096+4006980+32061126+1778000+32100000</f>
        <v>315411580</v>
      </c>
    </row>
    <row r="47" spans="1:3" ht="12" customHeight="1" x14ac:dyDescent="0.2">
      <c r="A47" s="207" t="s">
        <v>88</v>
      </c>
      <c r="B47" s="5" t="s">
        <v>135</v>
      </c>
      <c r="C47" s="526"/>
    </row>
    <row r="48" spans="1:3" ht="12" customHeight="1" thickBot="1" x14ac:dyDescent="0.25">
      <c r="A48" s="207" t="s">
        <v>111</v>
      </c>
      <c r="B48" s="5" t="s">
        <v>136</v>
      </c>
      <c r="C48" s="526"/>
    </row>
    <row r="49" spans="1:5" s="213" customFormat="1" ht="12" customHeight="1" thickBot="1" x14ac:dyDescent="0.25">
      <c r="A49" s="74" t="s">
        <v>17</v>
      </c>
      <c r="B49" s="54" t="s">
        <v>347</v>
      </c>
      <c r="C49" s="524">
        <f>SUM(C50:C52)</f>
        <v>24191194</v>
      </c>
    </row>
    <row r="50" spans="1:5" ht="12" customHeight="1" x14ac:dyDescent="0.2">
      <c r="A50" s="207" t="s">
        <v>91</v>
      </c>
      <c r="B50" s="6" t="s">
        <v>157</v>
      </c>
      <c r="C50" s="673">
        <f>24994641+774553-1778000+200000</f>
        <v>24191194</v>
      </c>
    </row>
    <row r="51" spans="1:5" ht="12" customHeight="1" x14ac:dyDescent="0.2">
      <c r="A51" s="207" t="s">
        <v>92</v>
      </c>
      <c r="B51" s="5" t="s">
        <v>138</v>
      </c>
      <c r="C51" s="526"/>
    </row>
    <row r="52" spans="1:5" ht="12" customHeight="1" x14ac:dyDescent="0.2">
      <c r="A52" s="207" t="s">
        <v>93</v>
      </c>
      <c r="B52" s="5" t="s">
        <v>54</v>
      </c>
      <c r="C52" s="526"/>
    </row>
    <row r="53" spans="1:5" ht="15" customHeight="1" thickBot="1" x14ac:dyDescent="0.25">
      <c r="A53" s="207" t="s">
        <v>94</v>
      </c>
      <c r="B53" s="5" t="s">
        <v>465</v>
      </c>
      <c r="C53" s="526"/>
    </row>
    <row r="54" spans="1:5" ht="13.5" thickBot="1" x14ac:dyDescent="0.25">
      <c r="A54" s="74" t="s">
        <v>18</v>
      </c>
      <c r="B54" s="54" t="s">
        <v>12</v>
      </c>
      <c r="C54" s="531"/>
      <c r="D54" s="31"/>
      <c r="E54" s="31"/>
    </row>
    <row r="55" spans="1:5" ht="15" customHeight="1" thickBot="1" x14ac:dyDescent="0.25">
      <c r="A55" s="74" t="s">
        <v>19</v>
      </c>
      <c r="B55" s="93" t="s">
        <v>466</v>
      </c>
      <c r="C55" s="124">
        <f>+C43+C49+C54</f>
        <v>952869908</v>
      </c>
    </row>
    <row r="56" spans="1:5" ht="13.5" thickBot="1" x14ac:dyDescent="0.25">
      <c r="A56" s="1376" t="s">
        <v>459</v>
      </c>
      <c r="B56" s="1377"/>
      <c r="C56" s="896">
        <f>110-3.33+1+3</f>
        <v>110.67</v>
      </c>
    </row>
    <row r="57" spans="1:5" ht="13.5" thickBot="1" x14ac:dyDescent="0.25">
      <c r="A57" s="1378" t="s">
        <v>660</v>
      </c>
      <c r="B57" s="1379"/>
      <c r="C57" s="545">
        <v>2</v>
      </c>
    </row>
    <row r="58" spans="1:5" ht="13.5" customHeight="1" thickBot="1" x14ac:dyDescent="0.25">
      <c r="A58" s="1392" t="s">
        <v>855</v>
      </c>
      <c r="B58" s="1393"/>
      <c r="C58" s="744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5" style="304" bestFit="1" customWidth="1"/>
    <col min="5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85" t="str">
        <f>CONCATENATE("23. melléklet"," ",ALAPADATOK!A7," ",ALAPADATOK!B7," ",ALAPADATOK!C7," ",ALAPADATOK!D7," ",ALAPADATOK!E7," ",ALAPADATOK!F7," ",ALAPADATOK!G7," ",ALAPADATOK!H7)</f>
        <v>23. melléklet az 5 / 2022. ( II.24. ) önkormányzati rendelethez</v>
      </c>
      <c r="B1" s="1385"/>
      <c r="C1" s="1385"/>
    </row>
    <row r="2" spans="1:3" s="1" customFormat="1" ht="21" customHeight="1" thickBot="1" x14ac:dyDescent="0.25">
      <c r="A2" s="75"/>
      <c r="B2" s="76"/>
      <c r="C2" s="310"/>
    </row>
    <row r="3" spans="1:3" s="37" customFormat="1" ht="34.5" customHeight="1" x14ac:dyDescent="0.2">
      <c r="A3" s="171" t="s">
        <v>152</v>
      </c>
      <c r="B3" s="152" t="s">
        <v>479</v>
      </c>
      <c r="C3" s="311" t="s">
        <v>56</v>
      </c>
    </row>
    <row r="4" spans="1:3" s="37" customFormat="1" ht="24.75" thickBot="1" x14ac:dyDescent="0.25">
      <c r="A4" s="205" t="s">
        <v>151</v>
      </c>
      <c r="B4" s="153" t="s">
        <v>530</v>
      </c>
      <c r="C4" s="312" t="s">
        <v>56</v>
      </c>
    </row>
    <row r="5" spans="1:3" s="212" customFormat="1" ht="15.95" customHeight="1" thickBot="1" x14ac:dyDescent="0.3">
      <c r="A5" s="77"/>
      <c r="B5" s="77"/>
      <c r="C5" s="313" t="s">
        <v>488</v>
      </c>
    </row>
    <row r="6" spans="1:3" ht="13.5" thickBot="1" x14ac:dyDescent="0.25">
      <c r="A6" s="172" t="s">
        <v>153</v>
      </c>
      <c r="B6" s="79" t="s">
        <v>50</v>
      </c>
      <c r="C6" s="314" t="s">
        <v>51</v>
      </c>
    </row>
    <row r="7" spans="1:3" s="32" customFormat="1" ht="12.95" customHeight="1" thickBot="1" x14ac:dyDescent="0.25">
      <c r="A7" s="71" t="s">
        <v>385</v>
      </c>
      <c r="B7" s="72" t="s">
        <v>386</v>
      </c>
      <c r="C7" s="315" t="s">
        <v>387</v>
      </c>
    </row>
    <row r="8" spans="1:3" s="32" customFormat="1" ht="15.95" customHeight="1" thickBot="1" x14ac:dyDescent="0.25">
      <c r="A8" s="81"/>
      <c r="B8" s="82" t="s">
        <v>52</v>
      </c>
      <c r="C8" s="316"/>
    </row>
    <row r="9" spans="1:3" s="38" customFormat="1" ht="12" customHeight="1" thickBot="1" x14ac:dyDescent="0.25">
      <c r="A9" s="71" t="s">
        <v>16</v>
      </c>
      <c r="B9" s="84" t="s">
        <v>461</v>
      </c>
      <c r="C9" s="524">
        <f>SUM(C10:C20)</f>
        <v>0</v>
      </c>
    </row>
    <row r="10" spans="1:3" s="38" customFormat="1" ht="12" customHeight="1" x14ac:dyDescent="0.2">
      <c r="A10" s="206" t="s">
        <v>85</v>
      </c>
      <c r="B10" s="7" t="s">
        <v>207</v>
      </c>
      <c r="C10" s="525"/>
    </row>
    <row r="11" spans="1:3" s="38" customFormat="1" ht="12" customHeight="1" x14ac:dyDescent="0.2">
      <c r="A11" s="207" t="s">
        <v>86</v>
      </c>
      <c r="B11" s="5" t="s">
        <v>208</v>
      </c>
      <c r="C11" s="526"/>
    </row>
    <row r="12" spans="1:3" s="38" customFormat="1" ht="12" customHeight="1" x14ac:dyDescent="0.2">
      <c r="A12" s="207" t="s">
        <v>87</v>
      </c>
      <c r="B12" s="5" t="s">
        <v>209</v>
      </c>
      <c r="C12" s="526"/>
    </row>
    <row r="13" spans="1:3" s="38" customFormat="1" ht="12" customHeight="1" x14ac:dyDescent="0.2">
      <c r="A13" s="207" t="s">
        <v>88</v>
      </c>
      <c r="B13" s="5" t="s">
        <v>210</v>
      </c>
      <c r="C13" s="526"/>
    </row>
    <row r="14" spans="1:3" s="38" customFormat="1" ht="12" customHeight="1" x14ac:dyDescent="0.2">
      <c r="A14" s="207" t="s">
        <v>111</v>
      </c>
      <c r="B14" s="5" t="s">
        <v>211</v>
      </c>
      <c r="C14" s="526"/>
    </row>
    <row r="15" spans="1:3" s="38" customFormat="1" ht="12" customHeight="1" x14ac:dyDescent="0.2">
      <c r="A15" s="207" t="s">
        <v>89</v>
      </c>
      <c r="B15" s="5" t="s">
        <v>331</v>
      </c>
      <c r="C15" s="526"/>
    </row>
    <row r="16" spans="1:3" s="38" customFormat="1" ht="12" customHeight="1" x14ac:dyDescent="0.2">
      <c r="A16" s="207" t="s">
        <v>90</v>
      </c>
      <c r="B16" s="4" t="s">
        <v>332</v>
      </c>
      <c r="C16" s="526"/>
    </row>
    <row r="17" spans="1:3" s="38" customFormat="1" ht="12" customHeight="1" x14ac:dyDescent="0.2">
      <c r="A17" s="207" t="s">
        <v>100</v>
      </c>
      <c r="B17" s="5" t="s">
        <v>214</v>
      </c>
      <c r="C17" s="527"/>
    </row>
    <row r="18" spans="1:3" s="39" customFormat="1" ht="12" customHeight="1" x14ac:dyDescent="0.2">
      <c r="A18" s="207" t="s">
        <v>101</v>
      </c>
      <c r="B18" s="5" t="s">
        <v>215</v>
      </c>
      <c r="C18" s="526"/>
    </row>
    <row r="19" spans="1:3" s="39" customFormat="1" ht="12" customHeight="1" x14ac:dyDescent="0.2">
      <c r="A19" s="207" t="s">
        <v>102</v>
      </c>
      <c r="B19" s="5" t="s">
        <v>391</v>
      </c>
      <c r="C19" s="528"/>
    </row>
    <row r="20" spans="1:3" s="39" customFormat="1" ht="12" customHeight="1" thickBot="1" x14ac:dyDescent="0.25">
      <c r="A20" s="207" t="s">
        <v>103</v>
      </c>
      <c r="B20" s="4" t="s">
        <v>216</v>
      </c>
      <c r="C20" s="528"/>
    </row>
    <row r="21" spans="1:3" s="38" customFormat="1" ht="12" customHeight="1" thickBot="1" x14ac:dyDescent="0.25">
      <c r="A21" s="71" t="s">
        <v>17</v>
      </c>
      <c r="B21" s="84" t="s">
        <v>333</v>
      </c>
      <c r="C21" s="524">
        <f>SUM(C22:C24)</f>
        <v>0</v>
      </c>
    </row>
    <row r="22" spans="1:3" s="39" customFormat="1" ht="12" customHeight="1" x14ac:dyDescent="0.2">
      <c r="A22" s="207" t="s">
        <v>91</v>
      </c>
      <c r="B22" s="6" t="s">
        <v>185</v>
      </c>
      <c r="C22" s="529"/>
    </row>
    <row r="23" spans="1:3" s="39" customFormat="1" ht="12" customHeight="1" x14ac:dyDescent="0.2">
      <c r="A23" s="207" t="s">
        <v>92</v>
      </c>
      <c r="B23" s="5" t="s">
        <v>334</v>
      </c>
      <c r="C23" s="526"/>
    </row>
    <row r="24" spans="1:3" s="39" customFormat="1" ht="12" customHeight="1" x14ac:dyDescent="0.2">
      <c r="A24" s="207" t="s">
        <v>93</v>
      </c>
      <c r="B24" s="5" t="s">
        <v>335</v>
      </c>
      <c r="C24" s="530"/>
    </row>
    <row r="25" spans="1:3" s="39" customFormat="1" ht="12" customHeight="1" thickBot="1" x14ac:dyDescent="0.25">
      <c r="A25" s="207" t="s">
        <v>94</v>
      </c>
      <c r="B25" s="5" t="s">
        <v>462</v>
      </c>
      <c r="C25" s="526"/>
    </row>
    <row r="26" spans="1:3" s="39" customFormat="1" ht="12" customHeight="1" thickBot="1" x14ac:dyDescent="0.25">
      <c r="A26" s="74" t="s">
        <v>18</v>
      </c>
      <c r="B26" s="54" t="s">
        <v>125</v>
      </c>
      <c r="C26" s="531"/>
    </row>
    <row r="27" spans="1:3" s="39" customFormat="1" ht="12" customHeight="1" thickBot="1" x14ac:dyDescent="0.25">
      <c r="A27" s="74" t="s">
        <v>19</v>
      </c>
      <c r="B27" s="54" t="s">
        <v>463</v>
      </c>
      <c r="C27" s="524">
        <f>+C28+C29+C30</f>
        <v>0</v>
      </c>
    </row>
    <row r="28" spans="1:3" s="39" customFormat="1" ht="12" customHeight="1" x14ac:dyDescent="0.2">
      <c r="A28" s="208" t="s">
        <v>195</v>
      </c>
      <c r="B28" s="209" t="s">
        <v>190</v>
      </c>
      <c r="C28" s="532"/>
    </row>
    <row r="29" spans="1:3" s="39" customFormat="1" ht="12" customHeight="1" x14ac:dyDescent="0.2">
      <c r="A29" s="208" t="s">
        <v>198</v>
      </c>
      <c r="B29" s="209" t="s">
        <v>334</v>
      </c>
      <c r="C29" s="529"/>
    </row>
    <row r="30" spans="1:3" s="39" customFormat="1" ht="12" customHeight="1" x14ac:dyDescent="0.2">
      <c r="A30" s="208" t="s">
        <v>199</v>
      </c>
      <c r="B30" s="210" t="s">
        <v>336</v>
      </c>
      <c r="C30" s="529"/>
    </row>
    <row r="31" spans="1:3" s="39" customFormat="1" ht="12" customHeight="1" thickBot="1" x14ac:dyDescent="0.25">
      <c r="A31" s="207" t="s">
        <v>200</v>
      </c>
      <c r="B31" s="57" t="s">
        <v>464</v>
      </c>
      <c r="C31" s="533"/>
    </row>
    <row r="32" spans="1:3" s="39" customFormat="1" ht="12" customHeight="1" thickBot="1" x14ac:dyDescent="0.25">
      <c r="A32" s="74" t="s">
        <v>20</v>
      </c>
      <c r="B32" s="54" t="s">
        <v>337</v>
      </c>
      <c r="C32" s="524">
        <f>+C33+C34+C35</f>
        <v>0</v>
      </c>
    </row>
    <row r="33" spans="1:3" s="39" customFormat="1" ht="12" customHeight="1" x14ac:dyDescent="0.2">
      <c r="A33" s="208" t="s">
        <v>78</v>
      </c>
      <c r="B33" s="209" t="s">
        <v>221</v>
      </c>
      <c r="C33" s="532"/>
    </row>
    <row r="34" spans="1:3" s="39" customFormat="1" ht="12" customHeight="1" x14ac:dyDescent="0.2">
      <c r="A34" s="208" t="s">
        <v>79</v>
      </c>
      <c r="B34" s="210" t="s">
        <v>222</v>
      </c>
      <c r="C34" s="527"/>
    </row>
    <row r="35" spans="1:3" s="38" customFormat="1" ht="12" customHeight="1" thickBot="1" x14ac:dyDescent="0.25">
      <c r="A35" s="207" t="s">
        <v>80</v>
      </c>
      <c r="B35" s="57" t="s">
        <v>223</v>
      </c>
      <c r="C35" s="533"/>
    </row>
    <row r="36" spans="1:3" s="38" customFormat="1" ht="12" customHeight="1" thickBot="1" x14ac:dyDescent="0.25">
      <c r="A36" s="74" t="s">
        <v>21</v>
      </c>
      <c r="B36" s="54" t="s">
        <v>309</v>
      </c>
      <c r="C36" s="531"/>
    </row>
    <row r="37" spans="1:3" s="38" customFormat="1" ht="12" customHeight="1" thickBot="1" x14ac:dyDescent="0.25">
      <c r="A37" s="74" t="s">
        <v>22</v>
      </c>
      <c r="B37" s="54" t="s">
        <v>338</v>
      </c>
      <c r="C37" s="534"/>
    </row>
    <row r="38" spans="1:3" s="38" customFormat="1" ht="12" customHeight="1" thickBot="1" x14ac:dyDescent="0.25">
      <c r="A38" s="71" t="s">
        <v>23</v>
      </c>
      <c r="B38" s="54" t="s">
        <v>339</v>
      </c>
      <c r="C38" s="535">
        <f>+C9+C21+C26+C27+C32+C36+C37</f>
        <v>0</v>
      </c>
    </row>
    <row r="39" spans="1:3" s="38" customFormat="1" ht="12" customHeight="1" thickBot="1" x14ac:dyDescent="0.25">
      <c r="A39" s="85" t="s">
        <v>24</v>
      </c>
      <c r="B39" s="54" t="s">
        <v>340</v>
      </c>
      <c r="C39" s="535">
        <f>+C40+C41+C42</f>
        <v>0</v>
      </c>
    </row>
    <row r="40" spans="1:3" s="38" customFormat="1" ht="12" customHeight="1" x14ac:dyDescent="0.2">
      <c r="A40" s="208" t="s">
        <v>341</v>
      </c>
      <c r="B40" s="209" t="s">
        <v>166</v>
      </c>
      <c r="C40" s="532"/>
    </row>
    <row r="41" spans="1:3" s="39" customFormat="1" ht="12" customHeight="1" x14ac:dyDescent="0.2">
      <c r="A41" s="208" t="s">
        <v>342</v>
      </c>
      <c r="B41" s="210" t="s">
        <v>6</v>
      </c>
      <c r="C41" s="527"/>
    </row>
    <row r="42" spans="1:3" s="39" customFormat="1" ht="15" customHeight="1" thickBot="1" x14ac:dyDescent="0.25">
      <c r="A42" s="207" t="s">
        <v>343</v>
      </c>
      <c r="B42" s="57" t="s">
        <v>344</v>
      </c>
      <c r="C42" s="533"/>
    </row>
    <row r="43" spans="1:3" s="39" customFormat="1" ht="15" customHeight="1" thickBot="1" x14ac:dyDescent="0.25">
      <c r="A43" s="85" t="s">
        <v>25</v>
      </c>
      <c r="B43" s="86" t="s">
        <v>345</v>
      </c>
      <c r="C43" s="536">
        <f>+C38+C39</f>
        <v>0</v>
      </c>
    </row>
    <row r="44" spans="1:3" x14ac:dyDescent="0.2">
      <c r="A44" s="87"/>
      <c r="B44" s="88"/>
      <c r="C44" s="537"/>
    </row>
    <row r="45" spans="1:3" s="32" customFormat="1" ht="16.5" customHeight="1" thickBot="1" x14ac:dyDescent="0.25">
      <c r="A45" s="89"/>
      <c r="B45" s="90"/>
      <c r="C45" s="538"/>
    </row>
    <row r="46" spans="1:3" s="213" customFormat="1" ht="12" customHeight="1" thickBot="1" x14ac:dyDescent="0.25">
      <c r="A46" s="91"/>
      <c r="B46" s="92" t="s">
        <v>53</v>
      </c>
      <c r="C46" s="536"/>
    </row>
    <row r="47" spans="1:3" ht="12" customHeight="1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ht="12" customHeight="1" x14ac:dyDescent="0.2">
      <c r="A48" s="207" t="s">
        <v>85</v>
      </c>
      <c r="B48" s="6" t="s">
        <v>46</v>
      </c>
      <c r="C48" s="34"/>
    </row>
    <row r="49" spans="1:4" ht="12" customHeight="1" x14ac:dyDescent="0.2">
      <c r="A49" s="207" t="s">
        <v>86</v>
      </c>
      <c r="B49" s="5" t="s">
        <v>134</v>
      </c>
      <c r="C49" s="36"/>
    </row>
    <row r="50" spans="1:4" ht="12" customHeight="1" x14ac:dyDescent="0.2">
      <c r="A50" s="207" t="s">
        <v>87</v>
      </c>
      <c r="B50" s="5" t="s">
        <v>110</v>
      </c>
      <c r="C50" s="526"/>
    </row>
    <row r="51" spans="1:4" ht="12" customHeight="1" x14ac:dyDescent="0.2">
      <c r="A51" s="207" t="s">
        <v>88</v>
      </c>
      <c r="B51" s="5" t="s">
        <v>135</v>
      </c>
      <c r="C51" s="526"/>
    </row>
    <row r="52" spans="1:4" ht="12" customHeight="1" thickBot="1" x14ac:dyDescent="0.25">
      <c r="A52" s="207" t="s">
        <v>111</v>
      </c>
      <c r="B52" s="5" t="s">
        <v>136</v>
      </c>
      <c r="C52" s="526"/>
    </row>
    <row r="53" spans="1:4" s="213" customFormat="1" ht="12" customHeight="1" thickBot="1" x14ac:dyDescent="0.25">
      <c r="A53" s="74" t="s">
        <v>17</v>
      </c>
      <c r="B53" s="54" t="s">
        <v>347</v>
      </c>
      <c r="C53" s="524">
        <f>SUM(C54:C56)</f>
        <v>0</v>
      </c>
    </row>
    <row r="54" spans="1:4" ht="12" customHeight="1" x14ac:dyDescent="0.2">
      <c r="A54" s="207" t="s">
        <v>91</v>
      </c>
      <c r="B54" s="6" t="s">
        <v>157</v>
      </c>
      <c r="C54" s="532"/>
    </row>
    <row r="55" spans="1:4" ht="12" customHeight="1" x14ac:dyDescent="0.2">
      <c r="A55" s="207" t="s">
        <v>92</v>
      </c>
      <c r="B55" s="5" t="s">
        <v>138</v>
      </c>
      <c r="C55" s="526"/>
    </row>
    <row r="56" spans="1:4" ht="12" customHeight="1" x14ac:dyDescent="0.2">
      <c r="A56" s="207" t="s">
        <v>93</v>
      </c>
      <c r="B56" s="5" t="s">
        <v>54</v>
      </c>
      <c r="C56" s="526"/>
    </row>
    <row r="57" spans="1:4" ht="15" customHeight="1" thickBot="1" x14ac:dyDescent="0.25">
      <c r="A57" s="207" t="s">
        <v>94</v>
      </c>
      <c r="B57" s="5" t="s">
        <v>465</v>
      </c>
      <c r="C57" s="526"/>
    </row>
    <row r="58" spans="1:4" ht="13.5" thickBot="1" x14ac:dyDescent="0.25">
      <c r="A58" s="74" t="s">
        <v>18</v>
      </c>
      <c r="B58" s="54" t="s">
        <v>12</v>
      </c>
      <c r="C58" s="531"/>
      <c r="D58" s="31"/>
    </row>
    <row r="59" spans="1:4" ht="15" customHeight="1" thickBot="1" x14ac:dyDescent="0.25">
      <c r="A59" s="74" t="s">
        <v>19</v>
      </c>
      <c r="B59" s="93" t="s">
        <v>466</v>
      </c>
      <c r="C59" s="162">
        <f>+C47+C53+C58</f>
        <v>0</v>
      </c>
    </row>
    <row r="60" spans="1:4" ht="14.25" customHeight="1" thickBot="1" x14ac:dyDescent="0.25">
      <c r="C60" s="540"/>
    </row>
    <row r="61" spans="1:4" ht="13.5" thickBot="1" x14ac:dyDescent="0.25">
      <c r="A61" s="95" t="s">
        <v>459</v>
      </c>
      <c r="B61" s="96"/>
      <c r="C61" s="541">
        <v>0</v>
      </c>
    </row>
    <row r="62" spans="1:4" ht="13.5" thickBot="1" x14ac:dyDescent="0.25">
      <c r="A62" s="1394"/>
      <c r="B62" s="1395"/>
      <c r="C62" s="418"/>
      <c r="D62" s="305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K58"/>
  <sheetViews>
    <sheetView zoomScale="145" zoomScaleNormal="145" workbookViewId="0">
      <selection sqref="A1:C1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47" hidden="1" customWidth="1"/>
    <col min="6" max="6" width="12.5" style="647" hidden="1" customWidth="1"/>
    <col min="7" max="7" width="9.33203125" style="304" hidden="1" customWidth="1"/>
    <col min="8" max="8" width="9.33203125" style="304" customWidth="1"/>
    <col min="9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11" ht="12.75" customHeight="1" x14ac:dyDescent="0.2">
      <c r="A1" s="1385" t="str">
        <f>CONCATENATE("23. melléklet"," ",ALAPADATOK!A7," ",ALAPADATOK!B7," ",ALAPADATOK!C7," ",ALAPADATOK!D8," ",ALAPADATOK!E7," ",ALAPADATOK!F7," ",ALAPADATOK!G7," ",ALAPADATOK!H7)</f>
        <v>23. melléklet az 5 / 2023. ( II.24. ) önkormányzati rendelethez</v>
      </c>
      <c r="B1" s="1385"/>
      <c r="C1" s="1385"/>
    </row>
    <row r="2" spans="1:11" s="1" customFormat="1" ht="21" customHeight="1" x14ac:dyDescent="0.2">
      <c r="A2" s="75"/>
      <c r="B2" s="76"/>
      <c r="C2" s="310"/>
      <c r="E2" s="647"/>
      <c r="F2" s="647"/>
    </row>
    <row r="3" spans="1:11" s="37" customFormat="1" ht="36" customHeight="1" thickBot="1" x14ac:dyDescent="0.25">
      <c r="A3" s="1335" t="s">
        <v>928</v>
      </c>
      <c r="B3" s="1335"/>
      <c r="C3" s="1335"/>
      <c r="E3" s="463"/>
      <c r="F3" s="463"/>
    </row>
    <row r="4" spans="1:11" ht="13.5" thickBot="1" x14ac:dyDescent="0.25">
      <c r="A4" s="172" t="s">
        <v>153</v>
      </c>
      <c r="B4" s="79" t="s">
        <v>50</v>
      </c>
      <c r="C4" s="314" t="s">
        <v>895</v>
      </c>
    </row>
    <row r="5" spans="1:11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4"/>
      <c r="F5" s="464"/>
    </row>
    <row r="6" spans="1:11" s="32" customFormat="1" ht="15.95" customHeight="1" thickBot="1" x14ac:dyDescent="0.25">
      <c r="A6" s="81"/>
      <c r="B6" s="82" t="s">
        <v>52</v>
      </c>
      <c r="C6" s="316"/>
      <c r="E6" s="464"/>
      <c r="F6" s="464"/>
    </row>
    <row r="7" spans="1:11" s="38" customFormat="1" ht="12" customHeight="1" thickBot="1" x14ac:dyDescent="0.25">
      <c r="A7" s="71" t="s">
        <v>16</v>
      </c>
      <c r="B7" s="84" t="s">
        <v>461</v>
      </c>
      <c r="C7" s="524">
        <f>SUM(C8:C18)</f>
        <v>1259535</v>
      </c>
      <c r="E7" s="465">
        <f>'32. sz. mell TIB  '!C7+'33. sz. mell TIB'!C9</f>
        <v>1259535</v>
      </c>
      <c r="F7" s="465">
        <f>C7-E7</f>
        <v>0</v>
      </c>
      <c r="K7" s="1014"/>
    </row>
    <row r="8" spans="1:11" s="38" customFormat="1" ht="12" customHeight="1" x14ac:dyDescent="0.2">
      <c r="A8" s="206" t="s">
        <v>85</v>
      </c>
      <c r="B8" s="7" t="s">
        <v>207</v>
      </c>
      <c r="C8" s="525"/>
      <c r="E8" s="465">
        <f>'32. sz. mell TIB  '!C8+'33. sz. mell TIB'!C10</f>
        <v>0</v>
      </c>
      <c r="F8" s="465">
        <f t="shared" ref="F8:F56" si="0">C8-E8</f>
        <v>0</v>
      </c>
      <c r="K8" s="1014"/>
    </row>
    <row r="9" spans="1:11" s="38" customFormat="1" ht="12" customHeight="1" x14ac:dyDescent="0.2">
      <c r="A9" s="207" t="s">
        <v>86</v>
      </c>
      <c r="B9" s="5" t="s">
        <v>208</v>
      </c>
      <c r="C9" s="526"/>
      <c r="E9" s="465">
        <f>'32. sz. mell TIB  '!C9+'33. sz. mell TIB'!C11</f>
        <v>0</v>
      </c>
      <c r="F9" s="465">
        <f t="shared" si="0"/>
        <v>0</v>
      </c>
    </row>
    <row r="10" spans="1:11" s="38" customFormat="1" ht="12" customHeight="1" x14ac:dyDescent="0.2">
      <c r="A10" s="207" t="s">
        <v>87</v>
      </c>
      <c r="B10" s="5" t="s">
        <v>209</v>
      </c>
      <c r="C10" s="526"/>
      <c r="E10" s="465">
        <f>'32. sz. mell TIB  '!C10+'33. sz. mell TIB'!C12</f>
        <v>0</v>
      </c>
      <c r="F10" s="465">
        <f t="shared" si="0"/>
        <v>0</v>
      </c>
    </row>
    <row r="11" spans="1:11" s="38" customFormat="1" ht="12" customHeight="1" x14ac:dyDescent="0.2">
      <c r="A11" s="207" t="s">
        <v>88</v>
      </c>
      <c r="B11" s="5" t="s">
        <v>210</v>
      </c>
      <c r="C11" s="526"/>
      <c r="E11" s="465">
        <f>'32. sz. mell TIB  '!C11+'33. sz. mell TIB'!C13</f>
        <v>0</v>
      </c>
      <c r="F11" s="465">
        <f t="shared" si="0"/>
        <v>0</v>
      </c>
    </row>
    <row r="12" spans="1:11" s="38" customFormat="1" ht="12" customHeight="1" x14ac:dyDescent="0.2">
      <c r="A12" s="207" t="s">
        <v>111</v>
      </c>
      <c r="B12" s="5" t="s">
        <v>211</v>
      </c>
      <c r="C12" s="526">
        <v>1259535</v>
      </c>
      <c r="E12" s="465">
        <f>'32. sz. mell TIB  '!C12+'33. sz. mell TIB'!C14</f>
        <v>1259535</v>
      </c>
      <c r="F12" s="465">
        <f t="shared" si="0"/>
        <v>0</v>
      </c>
      <c r="K12" s="1014"/>
    </row>
    <row r="13" spans="1:11" s="38" customFormat="1" ht="12" customHeight="1" x14ac:dyDescent="0.2">
      <c r="A13" s="207" t="s">
        <v>89</v>
      </c>
      <c r="B13" s="5" t="s">
        <v>331</v>
      </c>
      <c r="C13" s="526"/>
      <c r="E13" s="465">
        <f>'32. sz. mell TIB  '!C13+'33. sz. mell TIB'!C15</f>
        <v>0</v>
      </c>
      <c r="F13" s="465">
        <f t="shared" si="0"/>
        <v>0</v>
      </c>
    </row>
    <row r="14" spans="1:11" s="38" customFormat="1" ht="12" customHeight="1" x14ac:dyDescent="0.2">
      <c r="A14" s="207" t="s">
        <v>90</v>
      </c>
      <c r="B14" s="4" t="s">
        <v>332</v>
      </c>
      <c r="C14" s="526"/>
      <c r="E14" s="465">
        <f>'32. sz. mell TIB  '!C14+'33. sz. mell TIB'!C16</f>
        <v>0</v>
      </c>
      <c r="F14" s="465">
        <f t="shared" si="0"/>
        <v>0</v>
      </c>
    </row>
    <row r="15" spans="1:11" s="38" customFormat="1" ht="12" customHeight="1" x14ac:dyDescent="0.2">
      <c r="A15" s="207" t="s">
        <v>100</v>
      </c>
      <c r="B15" s="5" t="s">
        <v>214</v>
      </c>
      <c r="C15" s="527"/>
      <c r="E15" s="465">
        <f>'32. sz. mell TIB  '!C15+'33. sz. mell TIB'!C17</f>
        <v>0</v>
      </c>
      <c r="F15" s="465">
        <f t="shared" si="0"/>
        <v>0</v>
      </c>
    </row>
    <row r="16" spans="1:11" s="39" customFormat="1" ht="12" customHeight="1" x14ac:dyDescent="0.2">
      <c r="A16" s="207" t="s">
        <v>101</v>
      </c>
      <c r="B16" s="5" t="s">
        <v>215</v>
      </c>
      <c r="C16" s="526"/>
      <c r="E16" s="465">
        <f>'32. sz. mell TIB  '!C16+'33. sz. mell TIB'!C18</f>
        <v>0</v>
      </c>
      <c r="F16" s="465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28"/>
      <c r="E17" s="465">
        <f>'32. sz. mell TIB  '!C17+'33. sz. mell TIB'!C19</f>
        <v>0</v>
      </c>
      <c r="F17" s="465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528"/>
      <c r="E18" s="465">
        <f>'32. sz. mell TIB  '!C18+'33. sz. mell TIB'!C20</f>
        <v>0</v>
      </c>
      <c r="F18" s="465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4">
        <f>SUM(C20:C22)</f>
        <v>0</v>
      </c>
      <c r="E19" s="465">
        <f>'32. sz. mell TIB  '!C19+'33. sz. mell TIB'!C21</f>
        <v>0</v>
      </c>
      <c r="F19" s="465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29"/>
      <c r="E20" s="465">
        <f>'32. sz. mell TIB  '!C20+'33. sz. mell TIB'!C22</f>
        <v>0</v>
      </c>
      <c r="F20" s="465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26"/>
      <c r="E21" s="465">
        <f>'32. sz. mell TIB  '!C21+'33. sz. mell TIB'!C23</f>
        <v>0</v>
      </c>
      <c r="F21" s="465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530"/>
      <c r="E22" s="465">
        <f>'32. sz. mell TIB  '!C22+'33. sz. mell TIB'!C24</f>
        <v>0</v>
      </c>
      <c r="F22" s="465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26"/>
      <c r="E23" s="465">
        <f>'32. sz. mell TIB  '!C23+'33. sz. mell TIB'!C25</f>
        <v>0</v>
      </c>
      <c r="F23" s="465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1"/>
      <c r="E24" s="465">
        <f>'32. sz. mell TIB  '!C24+'33. sz. mell TIB'!C26</f>
        <v>0</v>
      </c>
      <c r="F24" s="465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4">
        <f>+C26+C27+C28</f>
        <v>0</v>
      </c>
      <c r="E25" s="465">
        <f>'32. sz. mell TIB  '!C25+'33. sz. mell TIB'!C27</f>
        <v>0</v>
      </c>
      <c r="F25" s="465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2"/>
      <c r="E26" s="465">
        <f>'32. sz. mell TIB  '!C26+'33. sz. mell TIB'!C28</f>
        <v>0</v>
      </c>
      <c r="F26" s="465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29"/>
      <c r="E27" s="465">
        <f>'32. sz. mell TIB  '!C27+'33. sz. mell TIB'!C30</f>
        <v>0</v>
      </c>
      <c r="F27" s="465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529"/>
      <c r="E28" s="465">
        <f>'32. sz. mell TIB  '!C28+'33. sz. mell TIB'!C31</f>
        <v>0</v>
      </c>
      <c r="F28" s="465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3"/>
      <c r="E29" s="465">
        <f>'32. sz. mell TIB  '!C29+'33. sz. mell TIB'!C32</f>
        <v>0</v>
      </c>
      <c r="F29" s="465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  <c r="E30" s="465">
        <f>'32. sz. mell TIB  '!C30+'33. sz. mell TIB'!C33</f>
        <v>0</v>
      </c>
      <c r="F30" s="465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2"/>
      <c r="E31" s="465">
        <f>'32. sz. mell TIB  '!C31+'33. sz. mell TIB'!C34</f>
        <v>0</v>
      </c>
      <c r="F31" s="465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27"/>
      <c r="E32" s="465">
        <f>'32. sz. mell TIB  '!C32+'33. sz. mell TIB'!C35</f>
        <v>0</v>
      </c>
      <c r="F32" s="465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3"/>
      <c r="E33" s="465">
        <f>'32. sz. mell TIB  '!C33+'33. sz. mell TIB'!C36</f>
        <v>0</v>
      </c>
      <c r="F33" s="465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1302">
        <v>1553000</v>
      </c>
      <c r="E34" s="465">
        <f>'32. sz. mell TIB  '!C34+'33. sz. mell TIB'!C37</f>
        <v>1553000</v>
      </c>
      <c r="F34" s="465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534"/>
      <c r="E35" s="465">
        <f>'32. sz. mell TIB  '!C35+'33. sz. mell TIB'!C38</f>
        <v>0</v>
      </c>
      <c r="F35" s="465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2812535</v>
      </c>
      <c r="E36" s="465">
        <f>'32. sz. mell TIB  '!C36+'33. sz. mell TIB'!C39</f>
        <v>2812535</v>
      </c>
      <c r="F36" s="465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672">
        <f>+C38+C39+C40</f>
        <v>133723138</v>
      </c>
      <c r="E37" s="465">
        <f>'32. sz. mell TIB  '!C37+'33. sz. mell TIB'!C40</f>
        <v>138664584</v>
      </c>
      <c r="F37" s="465">
        <f t="shared" si="0"/>
        <v>-4941446</v>
      </c>
    </row>
    <row r="38" spans="1:6" s="38" customFormat="1" ht="12" customHeight="1" x14ac:dyDescent="0.2">
      <c r="A38" s="208" t="s">
        <v>341</v>
      </c>
      <c r="B38" s="209" t="s">
        <v>166</v>
      </c>
      <c r="C38" s="532">
        <v>82725</v>
      </c>
      <c r="E38" s="465">
        <f>'32. sz. mell TIB  '!C38+'33. sz. mell TIB'!C41</f>
        <v>82725</v>
      </c>
      <c r="F38" s="465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27"/>
      <c r="E39" s="465">
        <f>'32. sz. mell TIB  '!C39+'33. sz. mell TIB'!C42</f>
        <v>0</v>
      </c>
      <c r="F39" s="465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887">
        <f>133738545+3604794+1238520-4941446</f>
        <v>133640413</v>
      </c>
      <c r="E40" s="465">
        <f>'32. sz. mell TIB  '!C40+'33. sz. mell TIB'!C43</f>
        <v>138581859</v>
      </c>
      <c r="F40" s="465">
        <f t="shared" si="0"/>
        <v>-4941446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672">
        <f>+C36+C37</f>
        <v>136535673</v>
      </c>
      <c r="E41" s="465">
        <f>'32. sz. mell TIB  '!C41+'33. sz. mell TIB'!C44</f>
        <v>141477119</v>
      </c>
      <c r="F41" s="465">
        <f t="shared" si="0"/>
        <v>-4941446</v>
      </c>
    </row>
    <row r="42" spans="1:6" s="213" customFormat="1" ht="12" customHeight="1" thickBot="1" x14ac:dyDescent="0.25">
      <c r="A42" s="91"/>
      <c r="B42" s="92" t="s">
        <v>53</v>
      </c>
      <c r="C42" s="536"/>
      <c r="E42" s="465">
        <f>'32. sz. mell TIB  '!C42+'33. sz. mell TIB'!C47</f>
        <v>0</v>
      </c>
      <c r="F42" s="465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124">
        <f>SUM(C44:C48)</f>
        <v>134746773</v>
      </c>
      <c r="E43" s="465">
        <f>'32. sz. mell TIB  '!C43+'33. sz. mell TIB'!C48</f>
        <v>134746773</v>
      </c>
      <c r="F43" s="465">
        <f t="shared" si="0"/>
        <v>0</v>
      </c>
    </row>
    <row r="44" spans="1:6" ht="12" customHeight="1" x14ac:dyDescent="0.2">
      <c r="A44" s="207" t="s">
        <v>85</v>
      </c>
      <c r="B44" s="6" t="s">
        <v>46</v>
      </c>
      <c r="C44" s="673">
        <f>103154129+55212-1350328</f>
        <v>101859013</v>
      </c>
      <c r="E44" s="465">
        <f>'32. sz. mell TIB  '!C44+'33. sz. mell TIB'!C49</f>
        <v>101859013</v>
      </c>
      <c r="F44" s="465">
        <f t="shared" si="0"/>
        <v>0</v>
      </c>
    </row>
    <row r="45" spans="1:6" ht="12" customHeight="1" x14ac:dyDescent="0.2">
      <c r="A45" s="207" t="s">
        <v>86</v>
      </c>
      <c r="B45" s="5" t="s">
        <v>134</v>
      </c>
      <c r="C45" s="36">
        <v>13799567</v>
      </c>
      <c r="E45" s="465">
        <f>'32. sz. mell TIB  '!C45+'33. sz. mell TIB'!C50</f>
        <v>13799567</v>
      </c>
      <c r="F45" s="465">
        <f t="shared" si="0"/>
        <v>0</v>
      </c>
    </row>
    <row r="46" spans="1:6" ht="12" customHeight="1" x14ac:dyDescent="0.2">
      <c r="A46" s="207" t="s">
        <v>87</v>
      </c>
      <c r="B46" s="5" t="s">
        <v>110</v>
      </c>
      <c r="C46" s="674">
        <f>17603512+3549582+1526217-3591118</f>
        <v>19088193</v>
      </c>
      <c r="E46" s="465">
        <f>'32. sz. mell TIB  '!C46+'33. sz. mell TIB'!C51</f>
        <v>19088193</v>
      </c>
      <c r="F46" s="465">
        <f t="shared" si="0"/>
        <v>0</v>
      </c>
    </row>
    <row r="47" spans="1:6" ht="12" customHeight="1" x14ac:dyDescent="0.2">
      <c r="A47" s="207" t="s">
        <v>88</v>
      </c>
      <c r="B47" s="5" t="s">
        <v>135</v>
      </c>
      <c r="C47" s="526"/>
      <c r="E47" s="465">
        <f>'32. sz. mell TIB  '!C47+'33. sz. mell TIB'!C52</f>
        <v>0</v>
      </c>
      <c r="F47" s="465">
        <f t="shared" si="0"/>
        <v>0</v>
      </c>
    </row>
    <row r="48" spans="1:6" ht="12" customHeight="1" thickBot="1" x14ac:dyDescent="0.25">
      <c r="A48" s="207" t="s">
        <v>111</v>
      </c>
      <c r="B48" s="5" t="s">
        <v>136</v>
      </c>
      <c r="C48" s="526"/>
      <c r="E48" s="465">
        <f>'32. sz. mell TIB  '!C48+'33. sz. mell TIB'!C53</f>
        <v>0</v>
      </c>
      <c r="F48" s="465">
        <f t="shared" si="0"/>
        <v>0</v>
      </c>
    </row>
    <row r="49" spans="1:6" s="213" customFormat="1" ht="12" customHeight="1" thickBot="1" x14ac:dyDescent="0.25">
      <c r="A49" s="74" t="s">
        <v>17</v>
      </c>
      <c r="B49" s="54" t="s">
        <v>347</v>
      </c>
      <c r="C49" s="524">
        <f>SUM(C50:C52)</f>
        <v>1788900</v>
      </c>
      <c r="E49" s="465">
        <f>'32. sz. mell TIB  '!C49+'33. sz. mell TIB'!C54</f>
        <v>1788900</v>
      </c>
      <c r="F49" s="465">
        <f t="shared" si="0"/>
        <v>0</v>
      </c>
    </row>
    <row r="50" spans="1:6" ht="12" customHeight="1" x14ac:dyDescent="0.2">
      <c r="A50" s="207" t="s">
        <v>91</v>
      </c>
      <c r="B50" s="6" t="s">
        <v>157</v>
      </c>
      <c r="C50" s="34">
        <f>523597+1265303</f>
        <v>1788900</v>
      </c>
      <c r="E50" s="465">
        <f>'32. sz. mell TIB  '!C50+'33. sz. mell TIB'!C55</f>
        <v>1788900</v>
      </c>
      <c r="F50" s="465">
        <f t="shared" si="0"/>
        <v>0</v>
      </c>
    </row>
    <row r="51" spans="1:6" ht="12" customHeight="1" x14ac:dyDescent="0.2">
      <c r="A51" s="207" t="s">
        <v>92</v>
      </c>
      <c r="B51" s="5" t="s">
        <v>138</v>
      </c>
      <c r="C51" s="526"/>
      <c r="E51" s="465">
        <f>'32. sz. mell TIB  '!C51+'33. sz. mell TIB'!C56</f>
        <v>0</v>
      </c>
      <c r="F51" s="465">
        <f t="shared" si="0"/>
        <v>0</v>
      </c>
    </row>
    <row r="52" spans="1:6" ht="12" customHeight="1" x14ac:dyDescent="0.2">
      <c r="A52" s="207" t="s">
        <v>93</v>
      </c>
      <c r="B52" s="5" t="s">
        <v>54</v>
      </c>
      <c r="C52" s="526"/>
      <c r="E52" s="465">
        <f>'32. sz. mell TIB  '!C52+'33. sz. mell TIB'!C57</f>
        <v>0</v>
      </c>
      <c r="F52" s="465">
        <f t="shared" si="0"/>
        <v>0</v>
      </c>
    </row>
    <row r="53" spans="1:6" ht="15" customHeight="1" thickBot="1" x14ac:dyDescent="0.25">
      <c r="A53" s="207" t="s">
        <v>94</v>
      </c>
      <c r="B53" s="5" t="s">
        <v>465</v>
      </c>
      <c r="C53" s="526"/>
      <c r="E53" s="465">
        <f>'32. sz. mell TIB  '!C53+'33. sz. mell TIB'!C58</f>
        <v>0</v>
      </c>
      <c r="F53" s="465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31"/>
      <c r="E54" s="465">
        <f>'32. sz. mell TIB  '!C54+'33. sz. mell TIB'!C59</f>
        <v>0</v>
      </c>
      <c r="F54" s="465">
        <f t="shared" si="0"/>
        <v>0</v>
      </c>
    </row>
    <row r="55" spans="1:6" ht="15" customHeight="1" thickBot="1" x14ac:dyDescent="0.25">
      <c r="A55" s="74" t="s">
        <v>19</v>
      </c>
      <c r="B55" s="93" t="s">
        <v>466</v>
      </c>
      <c r="C55" s="124">
        <f>+C43+C49+C54</f>
        <v>136535673</v>
      </c>
      <c r="E55" s="465">
        <f>'32. sz. mell TIB  '!C55+'33. sz. mell TIB'!C60</f>
        <v>136535673</v>
      </c>
      <c r="F55" s="465">
        <f t="shared" si="0"/>
        <v>0</v>
      </c>
    </row>
    <row r="56" spans="1:6" ht="13.5" thickBot="1" x14ac:dyDescent="0.25">
      <c r="A56" s="1376" t="s">
        <v>459</v>
      </c>
      <c r="B56" s="1377"/>
      <c r="C56" s="541">
        <v>21</v>
      </c>
      <c r="E56" s="465" t="e">
        <f>'32. sz. mell TIB  '!C56+'33. sz. mell TIB'!#REF!</f>
        <v>#REF!</v>
      </c>
      <c r="F56" s="465" t="e">
        <f t="shared" si="0"/>
        <v>#REF!</v>
      </c>
    </row>
    <row r="57" spans="1:6" x14ac:dyDescent="0.2">
      <c r="E57" s="465"/>
      <c r="F57" s="465"/>
    </row>
    <row r="58" spans="1:6" x14ac:dyDescent="0.2">
      <c r="E58" s="465"/>
      <c r="F58" s="465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D13" sqref="D13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85" t="str">
        <f>CONCATENATE("24. melléklet"," ",ALAPADATOK!A7," ",ALAPADATOK!B7," ",ALAPADATOK!C7," ",ALAPADATOK!D8," ",ALAPADATOK!E7," ",ALAPADATOK!F7," ",ALAPADATOK!G7," ",ALAPADATOK!H7)</f>
        <v>24. melléklet az 5 / 2023. ( II.24. ) önkormányzati rendelethez</v>
      </c>
      <c r="B1" s="1385"/>
      <c r="C1" s="1385"/>
    </row>
    <row r="2" spans="1:6" s="1" customFormat="1" ht="21" customHeight="1" x14ac:dyDescent="0.2">
      <c r="A2" s="75"/>
      <c r="B2" s="76"/>
      <c r="C2" s="310"/>
    </row>
    <row r="3" spans="1:6" s="37" customFormat="1" ht="36" customHeight="1" thickBot="1" x14ac:dyDescent="0.25">
      <c r="A3" s="1335" t="s">
        <v>929</v>
      </c>
      <c r="B3" s="1335"/>
      <c r="C3" s="1335"/>
    </row>
    <row r="4" spans="1:6" ht="13.5" thickBot="1" x14ac:dyDescent="0.25">
      <c r="A4" s="172" t="s">
        <v>153</v>
      </c>
      <c r="B4" s="79" t="s">
        <v>50</v>
      </c>
      <c r="C4" s="314" t="s">
        <v>895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6" s="32" customFormat="1" ht="15.95" customHeight="1" thickBot="1" x14ac:dyDescent="0.25">
      <c r="A6" s="81"/>
      <c r="B6" s="82" t="s">
        <v>52</v>
      </c>
      <c r="C6" s="316"/>
      <c r="E6" s="1014"/>
    </row>
    <row r="7" spans="1:6" s="38" customFormat="1" ht="12" customHeight="1" thickBot="1" x14ac:dyDescent="0.25">
      <c r="A7" s="71" t="s">
        <v>16</v>
      </c>
      <c r="B7" s="84" t="s">
        <v>461</v>
      </c>
      <c r="C7" s="524">
        <f>SUM(C8:C18)</f>
        <v>1259535</v>
      </c>
      <c r="E7" s="1014"/>
    </row>
    <row r="8" spans="1:6" s="38" customFormat="1" ht="12" customHeight="1" x14ac:dyDescent="0.2">
      <c r="A8" s="206" t="s">
        <v>85</v>
      </c>
      <c r="B8" s="7" t="s">
        <v>207</v>
      </c>
      <c r="C8" s="525"/>
      <c r="F8" s="1015"/>
    </row>
    <row r="9" spans="1:6" s="38" customFormat="1" ht="12" customHeight="1" x14ac:dyDescent="0.2">
      <c r="A9" s="207" t="s">
        <v>86</v>
      </c>
      <c r="B9" s="5" t="s">
        <v>208</v>
      </c>
      <c r="C9" s="526"/>
    </row>
    <row r="10" spans="1:6" s="38" customFormat="1" ht="12" customHeight="1" x14ac:dyDescent="0.2">
      <c r="A10" s="207" t="s">
        <v>87</v>
      </c>
      <c r="B10" s="5" t="s">
        <v>209</v>
      </c>
      <c r="C10" s="526"/>
    </row>
    <row r="11" spans="1:6" s="38" customFormat="1" ht="12" customHeight="1" x14ac:dyDescent="0.2">
      <c r="A11" s="207" t="s">
        <v>88</v>
      </c>
      <c r="B11" s="5" t="s">
        <v>210</v>
      </c>
      <c r="C11" s="526"/>
    </row>
    <row r="12" spans="1:6" s="38" customFormat="1" ht="12" customHeight="1" x14ac:dyDescent="0.2">
      <c r="A12" s="207" t="s">
        <v>111</v>
      </c>
      <c r="B12" s="5" t="s">
        <v>211</v>
      </c>
      <c r="C12" s="526">
        <v>1259535</v>
      </c>
    </row>
    <row r="13" spans="1:6" s="38" customFormat="1" ht="12" customHeight="1" x14ac:dyDescent="0.2">
      <c r="A13" s="207" t="s">
        <v>89</v>
      </c>
      <c r="B13" s="5" t="s">
        <v>331</v>
      </c>
      <c r="C13" s="526"/>
    </row>
    <row r="14" spans="1:6" s="38" customFormat="1" ht="12" customHeight="1" x14ac:dyDescent="0.2">
      <c r="A14" s="207" t="s">
        <v>90</v>
      </c>
      <c r="B14" s="4" t="s">
        <v>332</v>
      </c>
      <c r="C14" s="526"/>
    </row>
    <row r="15" spans="1:6" s="38" customFormat="1" ht="12" customHeight="1" x14ac:dyDescent="0.2">
      <c r="A15" s="207" t="s">
        <v>100</v>
      </c>
      <c r="B15" s="5" t="s">
        <v>214</v>
      </c>
      <c r="C15" s="527"/>
    </row>
    <row r="16" spans="1:6" s="39" customFormat="1" ht="12" customHeight="1" x14ac:dyDescent="0.2">
      <c r="A16" s="207" t="s">
        <v>101</v>
      </c>
      <c r="B16" s="5" t="s">
        <v>215</v>
      </c>
      <c r="C16" s="526"/>
    </row>
    <row r="17" spans="1:3" s="39" customFormat="1" ht="12" customHeight="1" x14ac:dyDescent="0.2">
      <c r="A17" s="207" t="s">
        <v>102</v>
      </c>
      <c r="B17" s="5" t="s">
        <v>391</v>
      </c>
      <c r="C17" s="528"/>
    </row>
    <row r="18" spans="1:3" s="39" customFormat="1" ht="12" customHeight="1" thickBot="1" x14ac:dyDescent="0.25">
      <c r="A18" s="207" t="s">
        <v>103</v>
      </c>
      <c r="B18" s="4" t="s">
        <v>216</v>
      </c>
      <c r="C18" s="528"/>
    </row>
    <row r="19" spans="1:3" s="38" customFormat="1" ht="12" customHeight="1" thickBot="1" x14ac:dyDescent="0.25">
      <c r="A19" s="71" t="s">
        <v>17</v>
      </c>
      <c r="B19" s="84" t="s">
        <v>333</v>
      </c>
      <c r="C19" s="5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29"/>
    </row>
    <row r="21" spans="1:3" s="39" customFormat="1" ht="12" customHeight="1" x14ac:dyDescent="0.2">
      <c r="A21" s="207" t="s">
        <v>92</v>
      </c>
      <c r="B21" s="5" t="s">
        <v>334</v>
      </c>
      <c r="C21" s="526"/>
    </row>
    <row r="22" spans="1:3" s="39" customFormat="1" ht="12" customHeight="1" x14ac:dyDescent="0.2">
      <c r="A22" s="207" t="s">
        <v>93</v>
      </c>
      <c r="B22" s="5" t="s">
        <v>335</v>
      </c>
      <c r="C22" s="530"/>
    </row>
    <row r="23" spans="1:3" s="39" customFormat="1" ht="12" customHeight="1" thickBot="1" x14ac:dyDescent="0.25">
      <c r="A23" s="207" t="s">
        <v>94</v>
      </c>
      <c r="B23" s="5" t="s">
        <v>462</v>
      </c>
      <c r="C23" s="526"/>
    </row>
    <row r="24" spans="1:3" s="39" customFormat="1" ht="12" customHeight="1" thickBot="1" x14ac:dyDescent="0.25">
      <c r="A24" s="74" t="s">
        <v>18</v>
      </c>
      <c r="B24" s="54" t="s">
        <v>125</v>
      </c>
      <c r="C24" s="531"/>
    </row>
    <row r="25" spans="1:3" s="39" customFormat="1" ht="12" customHeight="1" thickBot="1" x14ac:dyDescent="0.25">
      <c r="A25" s="74" t="s">
        <v>19</v>
      </c>
      <c r="B25" s="54" t="s">
        <v>463</v>
      </c>
      <c r="C25" s="5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2"/>
    </row>
    <row r="27" spans="1:3" s="39" customFormat="1" ht="12" customHeight="1" x14ac:dyDescent="0.2">
      <c r="A27" s="208" t="s">
        <v>198</v>
      </c>
      <c r="B27" s="209" t="s">
        <v>334</v>
      </c>
      <c r="C27" s="529"/>
    </row>
    <row r="28" spans="1:3" s="39" customFormat="1" ht="12" customHeight="1" x14ac:dyDescent="0.2">
      <c r="A28" s="208" t="s">
        <v>199</v>
      </c>
      <c r="B28" s="210" t="s">
        <v>336</v>
      </c>
      <c r="C28" s="529"/>
    </row>
    <row r="29" spans="1:3" s="39" customFormat="1" ht="12" customHeight="1" thickBot="1" x14ac:dyDescent="0.25">
      <c r="A29" s="207" t="s">
        <v>200</v>
      </c>
      <c r="B29" s="57" t="s">
        <v>464</v>
      </c>
      <c r="C29" s="533"/>
    </row>
    <row r="30" spans="1:3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2"/>
    </row>
    <row r="32" spans="1:3" s="39" customFormat="1" ht="12" customHeight="1" x14ac:dyDescent="0.2">
      <c r="A32" s="208" t="s">
        <v>79</v>
      </c>
      <c r="B32" s="210" t="s">
        <v>222</v>
      </c>
      <c r="C32" s="527"/>
    </row>
    <row r="33" spans="1:3" s="38" customFormat="1" ht="12" customHeight="1" thickBot="1" x14ac:dyDescent="0.25">
      <c r="A33" s="207" t="s">
        <v>80</v>
      </c>
      <c r="B33" s="57" t="s">
        <v>223</v>
      </c>
      <c r="C33" s="533"/>
    </row>
    <row r="34" spans="1:3" s="38" customFormat="1" ht="12" customHeight="1" thickBot="1" x14ac:dyDescent="0.25">
      <c r="A34" s="74" t="s">
        <v>21</v>
      </c>
      <c r="B34" s="54" t="s">
        <v>309</v>
      </c>
      <c r="C34" s="1302">
        <v>1553000</v>
      </c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2812535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2">
        <f>+C38+C39+C40</f>
        <v>138664584</v>
      </c>
    </row>
    <row r="38" spans="1:3" s="38" customFormat="1" ht="12" customHeight="1" x14ac:dyDescent="0.2">
      <c r="A38" s="208" t="s">
        <v>341</v>
      </c>
      <c r="B38" s="209" t="s">
        <v>166</v>
      </c>
      <c r="C38" s="532">
        <v>82725</v>
      </c>
    </row>
    <row r="39" spans="1:3" s="39" customFormat="1" ht="12" customHeight="1" x14ac:dyDescent="0.2">
      <c r="A39" s="208" t="s">
        <v>342</v>
      </c>
      <c r="B39" s="210" t="s">
        <v>6</v>
      </c>
      <c r="C39" s="527"/>
    </row>
    <row r="40" spans="1:3" s="39" customFormat="1" ht="15" customHeight="1" thickBot="1" x14ac:dyDescent="0.25">
      <c r="A40" s="207" t="s">
        <v>343</v>
      </c>
      <c r="B40" s="57" t="s">
        <v>344</v>
      </c>
      <c r="C40" s="887">
        <f>133738545+3604794+1238520</f>
        <v>138581859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2">
        <f>+C36+C37</f>
        <v>141477119</v>
      </c>
    </row>
    <row r="42" spans="1:3" s="213" customFormat="1" ht="12" customHeight="1" thickBot="1" x14ac:dyDescent="0.25">
      <c r="A42" s="91"/>
      <c r="B42" s="92" t="s">
        <v>53</v>
      </c>
      <c r="C42" s="536"/>
    </row>
    <row r="43" spans="1:3" ht="12" customHeight="1" thickBot="1" x14ac:dyDescent="0.25">
      <c r="A43" s="74" t="s">
        <v>16</v>
      </c>
      <c r="B43" s="54" t="s">
        <v>346</v>
      </c>
      <c r="C43" s="124">
        <f>SUM(C44:C48)</f>
        <v>134746773</v>
      </c>
    </row>
    <row r="44" spans="1:3" ht="12" customHeight="1" x14ac:dyDescent="0.2">
      <c r="A44" s="207" t="s">
        <v>85</v>
      </c>
      <c r="B44" s="6" t="s">
        <v>46</v>
      </c>
      <c r="C44" s="673">
        <f>103154129+55212-1350328</f>
        <v>101859013</v>
      </c>
    </row>
    <row r="45" spans="1:3" ht="12" customHeight="1" x14ac:dyDescent="0.2">
      <c r="A45" s="207" t="s">
        <v>86</v>
      </c>
      <c r="B45" s="5" t="s">
        <v>134</v>
      </c>
      <c r="C45" s="36">
        <v>13799567</v>
      </c>
    </row>
    <row r="46" spans="1:3" ht="12" customHeight="1" x14ac:dyDescent="0.2">
      <c r="A46" s="207" t="s">
        <v>87</v>
      </c>
      <c r="B46" s="5" t="s">
        <v>110</v>
      </c>
      <c r="C46" s="674">
        <f>17603512+3549582+1526217-3591118</f>
        <v>19088193</v>
      </c>
    </row>
    <row r="47" spans="1:3" ht="12" customHeight="1" x14ac:dyDescent="0.2">
      <c r="A47" s="207" t="s">
        <v>88</v>
      </c>
      <c r="B47" s="5" t="s">
        <v>135</v>
      </c>
      <c r="C47" s="526"/>
    </row>
    <row r="48" spans="1:3" ht="12" customHeight="1" thickBot="1" x14ac:dyDescent="0.25">
      <c r="A48" s="207" t="s">
        <v>111</v>
      </c>
      <c r="B48" s="5" t="s">
        <v>136</v>
      </c>
      <c r="C48" s="526"/>
    </row>
    <row r="49" spans="1:3" s="213" customFormat="1" ht="12" customHeight="1" thickBot="1" x14ac:dyDescent="0.25">
      <c r="A49" s="74" t="s">
        <v>17</v>
      </c>
      <c r="B49" s="54" t="s">
        <v>347</v>
      </c>
      <c r="C49" s="524">
        <f>SUM(C50:C52)</f>
        <v>1788900</v>
      </c>
    </row>
    <row r="50" spans="1:3" ht="12" customHeight="1" x14ac:dyDescent="0.2">
      <c r="A50" s="207" t="s">
        <v>91</v>
      </c>
      <c r="B50" s="6" t="s">
        <v>157</v>
      </c>
      <c r="C50" s="34">
        <f>523597+1265303</f>
        <v>1788900</v>
      </c>
    </row>
    <row r="51" spans="1:3" ht="12" customHeight="1" x14ac:dyDescent="0.2">
      <c r="A51" s="207" t="s">
        <v>92</v>
      </c>
      <c r="B51" s="5" t="s">
        <v>138</v>
      </c>
      <c r="C51" s="36"/>
    </row>
    <row r="52" spans="1:3" ht="12" customHeight="1" x14ac:dyDescent="0.2">
      <c r="A52" s="207" t="s">
        <v>93</v>
      </c>
      <c r="B52" s="5" t="s">
        <v>54</v>
      </c>
      <c r="C52" s="526"/>
    </row>
    <row r="53" spans="1:3" ht="15" customHeight="1" thickBot="1" x14ac:dyDescent="0.25">
      <c r="A53" s="207" t="s">
        <v>94</v>
      </c>
      <c r="B53" s="5" t="s">
        <v>465</v>
      </c>
      <c r="C53" s="526"/>
    </row>
    <row r="54" spans="1:3" ht="13.5" thickBot="1" x14ac:dyDescent="0.25">
      <c r="A54" s="74" t="s">
        <v>18</v>
      </c>
      <c r="B54" s="54" t="s">
        <v>12</v>
      </c>
      <c r="C54" s="531"/>
    </row>
    <row r="55" spans="1:3" ht="15" customHeight="1" thickBot="1" x14ac:dyDescent="0.25">
      <c r="A55" s="74" t="s">
        <v>19</v>
      </c>
      <c r="B55" s="93" t="s">
        <v>466</v>
      </c>
      <c r="C55" s="124">
        <f>+C43+C49+C54</f>
        <v>136535673</v>
      </c>
    </row>
    <row r="56" spans="1:3" ht="13.5" thickBot="1" x14ac:dyDescent="0.25">
      <c r="A56" s="1376" t="s">
        <v>459</v>
      </c>
      <c r="B56" s="1377"/>
      <c r="C56" s="1018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topLeftCell="A34" workbookViewId="0">
      <selection activeCell="J35" sqref="J35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385" t="str">
        <f>CONCATENATE("33. melléklet"," ",ALAPADATOK!A7," ",ALAPADATOK!B7," ",ALAPADATOK!C7," ",ALAPADATOK!D7," ",ALAPADATOK!E7," ",ALAPADATOK!F7," ",ALAPADATOK!G7," ",ALAPADATOK!H7)</f>
        <v>33. melléklet az 5 / 2022. ( II.24. ) önkormányzati rendelethez</v>
      </c>
      <c r="B1" s="1385"/>
      <c r="C1" s="1385"/>
    </row>
    <row r="2" spans="1:3" ht="16.5" thickBot="1" x14ac:dyDescent="0.25">
      <c r="A2" s="75"/>
      <c r="B2" s="76"/>
      <c r="C2" s="211"/>
    </row>
    <row r="3" spans="1:3" ht="36" x14ac:dyDescent="0.2">
      <c r="A3" s="171" t="s">
        <v>152</v>
      </c>
      <c r="B3" s="152" t="s">
        <v>471</v>
      </c>
      <c r="C3" s="164" t="s">
        <v>56</v>
      </c>
    </row>
    <row r="4" spans="1:3" ht="24.75" thickBot="1" x14ac:dyDescent="0.25">
      <c r="A4" s="205" t="s">
        <v>151</v>
      </c>
      <c r="B4" s="153" t="s">
        <v>348</v>
      </c>
      <c r="C4" s="165" t="s">
        <v>55</v>
      </c>
    </row>
    <row r="5" spans="1:3" ht="14.25" thickBot="1" x14ac:dyDescent="0.3">
      <c r="A5" s="77"/>
      <c r="B5" s="77"/>
      <c r="C5" s="78" t="s">
        <v>488</v>
      </c>
    </row>
    <row r="6" spans="1:3" ht="13.5" thickBot="1" x14ac:dyDescent="0.25">
      <c r="A6" s="172" t="s">
        <v>153</v>
      </c>
      <c r="B6" s="79" t="s">
        <v>50</v>
      </c>
      <c r="C6" s="80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1"/>
      <c r="B8" s="82" t="s">
        <v>52</v>
      </c>
      <c r="C8" s="83"/>
    </row>
    <row r="9" spans="1:3" ht="13.5" thickBot="1" x14ac:dyDescent="0.25">
      <c r="A9" s="71" t="s">
        <v>16</v>
      </c>
      <c r="B9" s="84" t="s">
        <v>461</v>
      </c>
      <c r="C9" s="124">
        <f>SUM(C10:C20)</f>
        <v>0</v>
      </c>
    </row>
    <row r="10" spans="1:3" x14ac:dyDescent="0.2">
      <c r="A10" s="206" t="s">
        <v>85</v>
      </c>
      <c r="B10" s="7" t="s">
        <v>207</v>
      </c>
      <c r="C10" s="156"/>
    </row>
    <row r="11" spans="1:3" x14ac:dyDescent="0.2">
      <c r="A11" s="207" t="s">
        <v>86</v>
      </c>
      <c r="B11" s="5" t="s">
        <v>208</v>
      </c>
      <c r="C11" s="122"/>
    </row>
    <row r="12" spans="1:3" x14ac:dyDescent="0.2">
      <c r="A12" s="207" t="s">
        <v>87</v>
      </c>
      <c r="B12" s="5" t="s">
        <v>209</v>
      </c>
      <c r="C12" s="122"/>
    </row>
    <row r="13" spans="1:3" x14ac:dyDescent="0.2">
      <c r="A13" s="207" t="s">
        <v>88</v>
      </c>
      <c r="B13" s="5" t="s">
        <v>210</v>
      </c>
      <c r="C13" s="122"/>
    </row>
    <row r="14" spans="1:3" x14ac:dyDescent="0.2">
      <c r="A14" s="207" t="s">
        <v>111</v>
      </c>
      <c r="B14" s="5" t="s">
        <v>861</v>
      </c>
      <c r="C14" s="122"/>
    </row>
    <row r="15" spans="1:3" x14ac:dyDescent="0.2">
      <c r="A15" s="207" t="s">
        <v>89</v>
      </c>
      <c r="B15" s="5" t="s">
        <v>331</v>
      </c>
      <c r="C15" s="122"/>
    </row>
    <row r="16" spans="1:3" x14ac:dyDescent="0.2">
      <c r="A16" s="207" t="s">
        <v>90</v>
      </c>
      <c r="B16" s="4" t="s">
        <v>332</v>
      </c>
      <c r="C16" s="122"/>
    </row>
    <row r="17" spans="1:3" x14ac:dyDescent="0.2">
      <c r="A17" s="207" t="s">
        <v>100</v>
      </c>
      <c r="B17" s="5" t="s">
        <v>214</v>
      </c>
      <c r="C17" s="157"/>
    </row>
    <row r="18" spans="1:3" x14ac:dyDescent="0.2">
      <c r="A18" s="207" t="s">
        <v>101</v>
      </c>
      <c r="B18" s="5" t="s">
        <v>215</v>
      </c>
      <c r="C18" s="122"/>
    </row>
    <row r="19" spans="1:3" x14ac:dyDescent="0.2">
      <c r="A19" s="207" t="s">
        <v>102</v>
      </c>
      <c r="B19" s="5" t="s">
        <v>391</v>
      </c>
      <c r="C19" s="123"/>
    </row>
    <row r="20" spans="1:3" ht="13.5" thickBot="1" x14ac:dyDescent="0.25">
      <c r="A20" s="207" t="s">
        <v>103</v>
      </c>
      <c r="B20" s="4" t="s">
        <v>216</v>
      </c>
      <c r="C20" s="123"/>
    </row>
    <row r="21" spans="1:3" ht="13.5" thickBot="1" x14ac:dyDescent="0.25">
      <c r="A21" s="71" t="s">
        <v>17</v>
      </c>
      <c r="B21" s="84" t="s">
        <v>333</v>
      </c>
      <c r="C21" s="124">
        <f>SUM(C22:C24)</f>
        <v>0</v>
      </c>
    </row>
    <row r="22" spans="1:3" x14ac:dyDescent="0.2">
      <c r="A22" s="207" t="s">
        <v>91</v>
      </c>
      <c r="B22" s="6" t="s">
        <v>185</v>
      </c>
      <c r="C22" s="122"/>
    </row>
    <row r="23" spans="1:3" x14ac:dyDescent="0.2">
      <c r="A23" s="207" t="s">
        <v>92</v>
      </c>
      <c r="B23" s="5" t="s">
        <v>334</v>
      </c>
      <c r="C23" s="122"/>
    </row>
    <row r="24" spans="1:3" x14ac:dyDescent="0.2">
      <c r="A24" s="207" t="s">
        <v>93</v>
      </c>
      <c r="B24" s="5" t="s">
        <v>335</v>
      </c>
      <c r="C24" s="122"/>
    </row>
    <row r="25" spans="1:3" ht="13.5" thickBot="1" x14ac:dyDescent="0.25">
      <c r="A25" s="207" t="s">
        <v>94</v>
      </c>
      <c r="B25" s="5" t="s">
        <v>467</v>
      </c>
      <c r="C25" s="122"/>
    </row>
    <row r="26" spans="1:3" ht="13.5" thickBot="1" x14ac:dyDescent="0.25">
      <c r="A26" s="74" t="s">
        <v>18</v>
      </c>
      <c r="B26" s="54" t="s">
        <v>125</v>
      </c>
      <c r="C26" s="142"/>
    </row>
    <row r="27" spans="1:3" ht="13.5" thickBot="1" x14ac:dyDescent="0.25">
      <c r="A27" s="74" t="s">
        <v>19</v>
      </c>
      <c r="B27" s="54" t="s">
        <v>468</v>
      </c>
      <c r="C27" s="124">
        <f>+C28+C30</f>
        <v>0</v>
      </c>
    </row>
    <row r="28" spans="1:3" x14ac:dyDescent="0.2">
      <c r="A28" s="208" t="s">
        <v>195</v>
      </c>
      <c r="B28" s="209" t="s">
        <v>190</v>
      </c>
      <c r="C28" s="532"/>
    </row>
    <row r="29" spans="1:3" x14ac:dyDescent="0.2">
      <c r="A29" s="207" t="s">
        <v>198</v>
      </c>
      <c r="B29" s="210" t="s">
        <v>334</v>
      </c>
      <c r="C29" s="36"/>
    </row>
    <row r="30" spans="1:3" x14ac:dyDescent="0.2">
      <c r="A30" s="208" t="s">
        <v>199</v>
      </c>
      <c r="B30" s="209" t="s">
        <v>336</v>
      </c>
      <c r="C30" s="125"/>
    </row>
    <row r="31" spans="1:3" ht="13.5" thickBot="1" x14ac:dyDescent="0.25">
      <c r="A31" s="207" t="s">
        <v>200</v>
      </c>
      <c r="B31" s="57" t="s">
        <v>469</v>
      </c>
      <c r="C31" s="671"/>
    </row>
    <row r="32" spans="1:3" ht="13.5" thickBot="1" x14ac:dyDescent="0.25">
      <c r="A32" s="74" t="s">
        <v>20</v>
      </c>
      <c r="B32" s="54" t="s">
        <v>337</v>
      </c>
      <c r="C32" s="124">
        <f>+C33+C34+C35</f>
        <v>0</v>
      </c>
    </row>
    <row r="33" spans="1:3" x14ac:dyDescent="0.2">
      <c r="A33" s="208" t="s">
        <v>78</v>
      </c>
      <c r="B33" s="209" t="s">
        <v>221</v>
      </c>
      <c r="C33" s="34"/>
    </row>
    <row r="34" spans="1:3" x14ac:dyDescent="0.2">
      <c r="A34" s="208" t="s">
        <v>79</v>
      </c>
      <c r="B34" s="210" t="s">
        <v>222</v>
      </c>
      <c r="C34" s="125"/>
    </row>
    <row r="35" spans="1:3" ht="13.5" thickBot="1" x14ac:dyDescent="0.25">
      <c r="A35" s="207" t="s">
        <v>80</v>
      </c>
      <c r="B35" s="57" t="s">
        <v>223</v>
      </c>
      <c r="C35" s="671"/>
    </row>
    <row r="36" spans="1:3" ht="13.5" thickBot="1" x14ac:dyDescent="0.25">
      <c r="A36" s="74" t="s">
        <v>21</v>
      </c>
      <c r="B36" s="54" t="s">
        <v>309</v>
      </c>
      <c r="C36" s="142"/>
    </row>
    <row r="37" spans="1:3" ht="13.5" thickBot="1" x14ac:dyDescent="0.25">
      <c r="A37" s="74" t="s">
        <v>22</v>
      </c>
      <c r="B37" s="54" t="s">
        <v>338</v>
      </c>
      <c r="C37" s="158"/>
    </row>
    <row r="38" spans="1:3" ht="13.5" thickBot="1" x14ac:dyDescent="0.25">
      <c r="A38" s="71" t="s">
        <v>23</v>
      </c>
      <c r="B38" s="54" t="s">
        <v>470</v>
      </c>
      <c r="C38" s="672">
        <f>+C9+C21+C26+C27+C32+C36+C37</f>
        <v>0</v>
      </c>
    </row>
    <row r="39" spans="1:3" ht="13.5" thickBot="1" x14ac:dyDescent="0.25">
      <c r="A39" s="85" t="s">
        <v>24</v>
      </c>
      <c r="B39" s="54" t="s">
        <v>340</v>
      </c>
      <c r="C39" s="672">
        <f>+C40+C41+C42</f>
        <v>0</v>
      </c>
    </row>
    <row r="40" spans="1:3" x14ac:dyDescent="0.2">
      <c r="A40" s="208" t="s">
        <v>341</v>
      </c>
      <c r="B40" s="209" t="s">
        <v>166</v>
      </c>
      <c r="C40" s="34"/>
    </row>
    <row r="41" spans="1:3" x14ac:dyDescent="0.2">
      <c r="A41" s="208" t="s">
        <v>342</v>
      </c>
      <c r="B41" s="210" t="s">
        <v>6</v>
      </c>
      <c r="C41" s="125"/>
    </row>
    <row r="42" spans="1:3" ht="13.5" thickBot="1" x14ac:dyDescent="0.25">
      <c r="A42" s="207" t="s">
        <v>343</v>
      </c>
      <c r="B42" s="57" t="s">
        <v>344</v>
      </c>
      <c r="C42" s="671"/>
    </row>
    <row r="43" spans="1:3" ht="13.5" thickBot="1" x14ac:dyDescent="0.25">
      <c r="A43" s="85" t="s">
        <v>25</v>
      </c>
      <c r="B43" s="86" t="s">
        <v>345</v>
      </c>
      <c r="C43" s="161">
        <f>+C38+C39</f>
        <v>0</v>
      </c>
    </row>
    <row r="44" spans="1:3" x14ac:dyDescent="0.2">
      <c r="A44" s="87"/>
      <c r="B44" s="88"/>
      <c r="C44" s="159"/>
    </row>
    <row r="45" spans="1:3" ht="13.5" thickBot="1" x14ac:dyDescent="0.25">
      <c r="A45" s="89"/>
      <c r="B45" s="90"/>
      <c r="C45" s="160"/>
    </row>
    <row r="46" spans="1:3" ht="13.5" thickBot="1" x14ac:dyDescent="0.25">
      <c r="A46" s="91"/>
      <c r="B46" s="92" t="s">
        <v>53</v>
      </c>
      <c r="C46" s="161"/>
    </row>
    <row r="47" spans="1:3" ht="13.5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x14ac:dyDescent="0.2">
      <c r="A48" s="207" t="s">
        <v>85</v>
      </c>
      <c r="B48" s="6" t="s">
        <v>46</v>
      </c>
      <c r="C48" s="34"/>
    </row>
    <row r="49" spans="1:3" x14ac:dyDescent="0.2">
      <c r="A49" s="207" t="s">
        <v>86</v>
      </c>
      <c r="B49" s="5" t="s">
        <v>134</v>
      </c>
      <c r="C49" s="36"/>
    </row>
    <row r="50" spans="1:3" x14ac:dyDescent="0.2">
      <c r="A50" s="207" t="s">
        <v>87</v>
      </c>
      <c r="B50" s="5" t="s">
        <v>110</v>
      </c>
      <c r="C50" s="36"/>
    </row>
    <row r="51" spans="1:3" x14ac:dyDescent="0.2">
      <c r="A51" s="207" t="s">
        <v>88</v>
      </c>
      <c r="B51" s="5" t="s">
        <v>135</v>
      </c>
      <c r="C51" s="36"/>
    </row>
    <row r="52" spans="1:3" ht="13.5" thickBot="1" x14ac:dyDescent="0.25">
      <c r="A52" s="207" t="s">
        <v>111</v>
      </c>
      <c r="B52" s="5" t="s">
        <v>136</v>
      </c>
      <c r="C52" s="36"/>
    </row>
    <row r="53" spans="1:3" ht="13.5" thickBot="1" x14ac:dyDescent="0.25">
      <c r="A53" s="74" t="s">
        <v>17</v>
      </c>
      <c r="B53" s="54" t="s">
        <v>347</v>
      </c>
      <c r="C53" s="124">
        <f>SUM(C54:C56)</f>
        <v>0</v>
      </c>
    </row>
    <row r="54" spans="1:3" x14ac:dyDescent="0.2">
      <c r="A54" s="207" t="s">
        <v>91</v>
      </c>
      <c r="B54" s="6" t="s">
        <v>157</v>
      </c>
      <c r="C54" s="34"/>
    </row>
    <row r="55" spans="1:3" x14ac:dyDescent="0.2">
      <c r="A55" s="207" t="s">
        <v>92</v>
      </c>
      <c r="B55" s="5" t="s">
        <v>138</v>
      </c>
      <c r="C55" s="36"/>
    </row>
    <row r="56" spans="1:3" x14ac:dyDescent="0.2">
      <c r="A56" s="207" t="s">
        <v>93</v>
      </c>
      <c r="B56" s="5" t="s">
        <v>54</v>
      </c>
      <c r="C56" s="36"/>
    </row>
    <row r="57" spans="1:3" ht="13.5" thickBot="1" x14ac:dyDescent="0.25">
      <c r="A57" s="207" t="s">
        <v>94</v>
      </c>
      <c r="B57" s="5" t="s">
        <v>465</v>
      </c>
      <c r="C57" s="36"/>
    </row>
    <row r="58" spans="1:3" ht="13.5" thickBot="1" x14ac:dyDescent="0.25">
      <c r="A58" s="74" t="s">
        <v>18</v>
      </c>
      <c r="B58" s="54" t="s">
        <v>12</v>
      </c>
      <c r="C58" s="142"/>
    </row>
    <row r="59" spans="1:3" ht="13.5" thickBot="1" x14ac:dyDescent="0.25">
      <c r="A59" s="74" t="s">
        <v>19</v>
      </c>
      <c r="B59" s="93" t="s">
        <v>466</v>
      </c>
      <c r="C59" s="162">
        <f>+C47+C53+C58</f>
        <v>0</v>
      </c>
    </row>
    <row r="60" spans="1:3" ht="13.5" thickBot="1" x14ac:dyDescent="0.25">
      <c r="A60" s="94"/>
      <c r="B60" s="304"/>
      <c r="C60" s="163"/>
    </row>
    <row r="61" spans="1:3" ht="13.5" thickBot="1" x14ac:dyDescent="0.25">
      <c r="A61" s="95" t="s">
        <v>459</v>
      </c>
      <c r="B61" s="96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1"/>
  <sheetViews>
    <sheetView zoomScale="130" zoomScaleNormal="130" zoomScaleSheetLayoutView="115" zoomScalePageLayoutView="85" workbookViewId="0">
      <selection activeCell="H15" sqref="H15"/>
    </sheetView>
  </sheetViews>
  <sheetFormatPr defaultColWidth="12.5" defaultRowHeight="12.75" x14ac:dyDescent="0.2"/>
  <cols>
    <col min="1" max="1" width="35.83203125" style="574" customWidth="1"/>
    <col min="2" max="3" width="12.33203125" style="574" customWidth="1"/>
    <col min="4" max="4" width="12.33203125" style="584" customWidth="1"/>
    <col min="5" max="10" width="12.33203125" style="574" customWidth="1"/>
    <col min="11" max="11" width="12.33203125" style="584" customWidth="1"/>
    <col min="12" max="254" width="12.5" style="286"/>
    <col min="255" max="255" width="34" style="286" bestFit="1" customWidth="1"/>
    <col min="256" max="256" width="13" style="286" bestFit="1" customWidth="1"/>
    <col min="257" max="258" width="14.83203125" style="286" bestFit="1" customWidth="1"/>
    <col min="259" max="259" width="13.1640625" style="286" customWidth="1"/>
    <col min="260" max="261" width="13" style="286" bestFit="1" customWidth="1"/>
    <col min="262" max="262" width="12.83203125" style="286" customWidth="1"/>
    <col min="263" max="263" width="11.83203125" style="286" bestFit="1" customWidth="1"/>
    <col min="264" max="264" width="14.83203125" style="286" bestFit="1" customWidth="1"/>
    <col min="265" max="510" width="12.5" style="286"/>
    <col min="511" max="511" width="34" style="286" bestFit="1" customWidth="1"/>
    <col min="512" max="512" width="13" style="286" bestFit="1" customWidth="1"/>
    <col min="513" max="514" width="14.83203125" style="286" bestFit="1" customWidth="1"/>
    <col min="515" max="515" width="13.1640625" style="286" customWidth="1"/>
    <col min="516" max="517" width="13" style="286" bestFit="1" customWidth="1"/>
    <col min="518" max="518" width="12.83203125" style="286" customWidth="1"/>
    <col min="519" max="519" width="11.83203125" style="286" bestFit="1" customWidth="1"/>
    <col min="520" max="520" width="14.83203125" style="286" bestFit="1" customWidth="1"/>
    <col min="521" max="766" width="12.5" style="286"/>
    <col min="767" max="767" width="34" style="286" bestFit="1" customWidth="1"/>
    <col min="768" max="768" width="13" style="286" bestFit="1" customWidth="1"/>
    <col min="769" max="770" width="14.83203125" style="286" bestFit="1" customWidth="1"/>
    <col min="771" max="771" width="13.1640625" style="286" customWidth="1"/>
    <col min="772" max="773" width="13" style="286" bestFit="1" customWidth="1"/>
    <col min="774" max="774" width="12.83203125" style="286" customWidth="1"/>
    <col min="775" max="775" width="11.83203125" style="286" bestFit="1" customWidth="1"/>
    <col min="776" max="776" width="14.83203125" style="286" bestFit="1" customWidth="1"/>
    <col min="777" max="1022" width="12.5" style="286"/>
    <col min="1023" max="1023" width="34" style="286" bestFit="1" customWidth="1"/>
    <col min="1024" max="1024" width="13" style="286" bestFit="1" customWidth="1"/>
    <col min="1025" max="1026" width="14.83203125" style="286" bestFit="1" customWidth="1"/>
    <col min="1027" max="1027" width="13.1640625" style="286" customWidth="1"/>
    <col min="1028" max="1029" width="13" style="286" bestFit="1" customWidth="1"/>
    <col min="1030" max="1030" width="12.83203125" style="286" customWidth="1"/>
    <col min="1031" max="1031" width="11.83203125" style="286" bestFit="1" customWidth="1"/>
    <col min="1032" max="1032" width="14.83203125" style="286" bestFit="1" customWidth="1"/>
    <col min="1033" max="1278" width="12.5" style="286"/>
    <col min="1279" max="1279" width="34" style="286" bestFit="1" customWidth="1"/>
    <col min="1280" max="1280" width="13" style="286" bestFit="1" customWidth="1"/>
    <col min="1281" max="1282" width="14.83203125" style="286" bestFit="1" customWidth="1"/>
    <col min="1283" max="1283" width="13.1640625" style="286" customWidth="1"/>
    <col min="1284" max="1285" width="13" style="286" bestFit="1" customWidth="1"/>
    <col min="1286" max="1286" width="12.83203125" style="286" customWidth="1"/>
    <col min="1287" max="1287" width="11.83203125" style="286" bestFit="1" customWidth="1"/>
    <col min="1288" max="1288" width="14.83203125" style="286" bestFit="1" customWidth="1"/>
    <col min="1289" max="1534" width="12.5" style="286"/>
    <col min="1535" max="1535" width="34" style="286" bestFit="1" customWidth="1"/>
    <col min="1536" max="1536" width="13" style="286" bestFit="1" customWidth="1"/>
    <col min="1537" max="1538" width="14.83203125" style="286" bestFit="1" customWidth="1"/>
    <col min="1539" max="1539" width="13.1640625" style="286" customWidth="1"/>
    <col min="1540" max="1541" width="13" style="286" bestFit="1" customWidth="1"/>
    <col min="1542" max="1542" width="12.83203125" style="286" customWidth="1"/>
    <col min="1543" max="1543" width="11.83203125" style="286" bestFit="1" customWidth="1"/>
    <col min="1544" max="1544" width="14.83203125" style="286" bestFit="1" customWidth="1"/>
    <col min="1545" max="1790" width="12.5" style="286"/>
    <col min="1791" max="1791" width="34" style="286" bestFit="1" customWidth="1"/>
    <col min="1792" max="1792" width="13" style="286" bestFit="1" customWidth="1"/>
    <col min="1793" max="1794" width="14.83203125" style="286" bestFit="1" customWidth="1"/>
    <col min="1795" max="1795" width="13.1640625" style="286" customWidth="1"/>
    <col min="1796" max="1797" width="13" style="286" bestFit="1" customWidth="1"/>
    <col min="1798" max="1798" width="12.83203125" style="286" customWidth="1"/>
    <col min="1799" max="1799" width="11.83203125" style="286" bestFit="1" customWidth="1"/>
    <col min="1800" max="1800" width="14.83203125" style="286" bestFit="1" customWidth="1"/>
    <col min="1801" max="2046" width="12.5" style="286"/>
    <col min="2047" max="2047" width="34" style="286" bestFit="1" customWidth="1"/>
    <col min="2048" max="2048" width="13" style="286" bestFit="1" customWidth="1"/>
    <col min="2049" max="2050" width="14.83203125" style="286" bestFit="1" customWidth="1"/>
    <col min="2051" max="2051" width="13.1640625" style="286" customWidth="1"/>
    <col min="2052" max="2053" width="13" style="286" bestFit="1" customWidth="1"/>
    <col min="2054" max="2054" width="12.83203125" style="286" customWidth="1"/>
    <col min="2055" max="2055" width="11.83203125" style="286" bestFit="1" customWidth="1"/>
    <col min="2056" max="2056" width="14.83203125" style="286" bestFit="1" customWidth="1"/>
    <col min="2057" max="2302" width="12.5" style="286"/>
    <col min="2303" max="2303" width="34" style="286" bestFit="1" customWidth="1"/>
    <col min="2304" max="2304" width="13" style="286" bestFit="1" customWidth="1"/>
    <col min="2305" max="2306" width="14.83203125" style="286" bestFit="1" customWidth="1"/>
    <col min="2307" max="2307" width="13.1640625" style="286" customWidth="1"/>
    <col min="2308" max="2309" width="13" style="286" bestFit="1" customWidth="1"/>
    <col min="2310" max="2310" width="12.83203125" style="286" customWidth="1"/>
    <col min="2311" max="2311" width="11.83203125" style="286" bestFit="1" customWidth="1"/>
    <col min="2312" max="2312" width="14.83203125" style="286" bestFit="1" customWidth="1"/>
    <col min="2313" max="2558" width="12.5" style="286"/>
    <col min="2559" max="2559" width="34" style="286" bestFit="1" customWidth="1"/>
    <col min="2560" max="2560" width="13" style="286" bestFit="1" customWidth="1"/>
    <col min="2561" max="2562" width="14.83203125" style="286" bestFit="1" customWidth="1"/>
    <col min="2563" max="2563" width="13.1640625" style="286" customWidth="1"/>
    <col min="2564" max="2565" width="13" style="286" bestFit="1" customWidth="1"/>
    <col min="2566" max="2566" width="12.83203125" style="286" customWidth="1"/>
    <col min="2567" max="2567" width="11.83203125" style="286" bestFit="1" customWidth="1"/>
    <col min="2568" max="2568" width="14.83203125" style="286" bestFit="1" customWidth="1"/>
    <col min="2569" max="2814" width="12.5" style="286"/>
    <col min="2815" max="2815" width="34" style="286" bestFit="1" customWidth="1"/>
    <col min="2816" max="2816" width="13" style="286" bestFit="1" customWidth="1"/>
    <col min="2817" max="2818" width="14.83203125" style="286" bestFit="1" customWidth="1"/>
    <col min="2819" max="2819" width="13.1640625" style="286" customWidth="1"/>
    <col min="2820" max="2821" width="13" style="286" bestFit="1" customWidth="1"/>
    <col min="2822" max="2822" width="12.83203125" style="286" customWidth="1"/>
    <col min="2823" max="2823" width="11.83203125" style="286" bestFit="1" customWidth="1"/>
    <col min="2824" max="2824" width="14.83203125" style="286" bestFit="1" customWidth="1"/>
    <col min="2825" max="3070" width="12.5" style="286"/>
    <col min="3071" max="3071" width="34" style="286" bestFit="1" customWidth="1"/>
    <col min="3072" max="3072" width="13" style="286" bestFit="1" customWidth="1"/>
    <col min="3073" max="3074" width="14.83203125" style="286" bestFit="1" customWidth="1"/>
    <col min="3075" max="3075" width="13.1640625" style="286" customWidth="1"/>
    <col min="3076" max="3077" width="13" style="286" bestFit="1" customWidth="1"/>
    <col min="3078" max="3078" width="12.83203125" style="286" customWidth="1"/>
    <col min="3079" max="3079" width="11.83203125" style="286" bestFit="1" customWidth="1"/>
    <col min="3080" max="3080" width="14.83203125" style="286" bestFit="1" customWidth="1"/>
    <col min="3081" max="3326" width="12.5" style="286"/>
    <col min="3327" max="3327" width="34" style="286" bestFit="1" customWidth="1"/>
    <col min="3328" max="3328" width="13" style="286" bestFit="1" customWidth="1"/>
    <col min="3329" max="3330" width="14.83203125" style="286" bestFit="1" customWidth="1"/>
    <col min="3331" max="3331" width="13.1640625" style="286" customWidth="1"/>
    <col min="3332" max="3333" width="13" style="286" bestFit="1" customWidth="1"/>
    <col min="3334" max="3334" width="12.83203125" style="286" customWidth="1"/>
    <col min="3335" max="3335" width="11.83203125" style="286" bestFit="1" customWidth="1"/>
    <col min="3336" max="3336" width="14.83203125" style="286" bestFit="1" customWidth="1"/>
    <col min="3337" max="3582" width="12.5" style="286"/>
    <col min="3583" max="3583" width="34" style="286" bestFit="1" customWidth="1"/>
    <col min="3584" max="3584" width="13" style="286" bestFit="1" customWidth="1"/>
    <col min="3585" max="3586" width="14.83203125" style="286" bestFit="1" customWidth="1"/>
    <col min="3587" max="3587" width="13.1640625" style="286" customWidth="1"/>
    <col min="3588" max="3589" width="13" style="286" bestFit="1" customWidth="1"/>
    <col min="3590" max="3590" width="12.83203125" style="286" customWidth="1"/>
    <col min="3591" max="3591" width="11.83203125" style="286" bestFit="1" customWidth="1"/>
    <col min="3592" max="3592" width="14.83203125" style="286" bestFit="1" customWidth="1"/>
    <col min="3593" max="3838" width="12.5" style="286"/>
    <col min="3839" max="3839" width="34" style="286" bestFit="1" customWidth="1"/>
    <col min="3840" max="3840" width="13" style="286" bestFit="1" customWidth="1"/>
    <col min="3841" max="3842" width="14.83203125" style="286" bestFit="1" customWidth="1"/>
    <col min="3843" max="3843" width="13.1640625" style="286" customWidth="1"/>
    <col min="3844" max="3845" width="13" style="286" bestFit="1" customWidth="1"/>
    <col min="3846" max="3846" width="12.83203125" style="286" customWidth="1"/>
    <col min="3847" max="3847" width="11.83203125" style="286" bestFit="1" customWidth="1"/>
    <col min="3848" max="3848" width="14.83203125" style="286" bestFit="1" customWidth="1"/>
    <col min="3849" max="4094" width="12.5" style="286"/>
    <col min="4095" max="4095" width="34" style="286" bestFit="1" customWidth="1"/>
    <col min="4096" max="4096" width="13" style="286" bestFit="1" customWidth="1"/>
    <col min="4097" max="4098" width="14.83203125" style="286" bestFit="1" customWidth="1"/>
    <col min="4099" max="4099" width="13.1640625" style="286" customWidth="1"/>
    <col min="4100" max="4101" width="13" style="286" bestFit="1" customWidth="1"/>
    <col min="4102" max="4102" width="12.83203125" style="286" customWidth="1"/>
    <col min="4103" max="4103" width="11.83203125" style="286" bestFit="1" customWidth="1"/>
    <col min="4104" max="4104" width="14.83203125" style="286" bestFit="1" customWidth="1"/>
    <col min="4105" max="4350" width="12.5" style="286"/>
    <col min="4351" max="4351" width="34" style="286" bestFit="1" customWidth="1"/>
    <col min="4352" max="4352" width="13" style="286" bestFit="1" customWidth="1"/>
    <col min="4353" max="4354" width="14.83203125" style="286" bestFit="1" customWidth="1"/>
    <col min="4355" max="4355" width="13.1640625" style="286" customWidth="1"/>
    <col min="4356" max="4357" width="13" style="286" bestFit="1" customWidth="1"/>
    <col min="4358" max="4358" width="12.83203125" style="286" customWidth="1"/>
    <col min="4359" max="4359" width="11.83203125" style="286" bestFit="1" customWidth="1"/>
    <col min="4360" max="4360" width="14.83203125" style="286" bestFit="1" customWidth="1"/>
    <col min="4361" max="4606" width="12.5" style="286"/>
    <col min="4607" max="4607" width="34" style="286" bestFit="1" customWidth="1"/>
    <col min="4608" max="4608" width="13" style="286" bestFit="1" customWidth="1"/>
    <col min="4609" max="4610" width="14.83203125" style="286" bestFit="1" customWidth="1"/>
    <col min="4611" max="4611" width="13.1640625" style="286" customWidth="1"/>
    <col min="4612" max="4613" width="13" style="286" bestFit="1" customWidth="1"/>
    <col min="4614" max="4614" width="12.83203125" style="286" customWidth="1"/>
    <col min="4615" max="4615" width="11.83203125" style="286" bestFit="1" customWidth="1"/>
    <col min="4616" max="4616" width="14.83203125" style="286" bestFit="1" customWidth="1"/>
    <col min="4617" max="4862" width="12.5" style="286"/>
    <col min="4863" max="4863" width="34" style="286" bestFit="1" customWidth="1"/>
    <col min="4864" max="4864" width="13" style="286" bestFit="1" customWidth="1"/>
    <col min="4865" max="4866" width="14.83203125" style="286" bestFit="1" customWidth="1"/>
    <col min="4867" max="4867" width="13.1640625" style="286" customWidth="1"/>
    <col min="4868" max="4869" width="13" style="286" bestFit="1" customWidth="1"/>
    <col min="4870" max="4870" width="12.83203125" style="286" customWidth="1"/>
    <col min="4871" max="4871" width="11.83203125" style="286" bestFit="1" customWidth="1"/>
    <col min="4872" max="4872" width="14.83203125" style="286" bestFit="1" customWidth="1"/>
    <col min="4873" max="5118" width="12.5" style="286"/>
    <col min="5119" max="5119" width="34" style="286" bestFit="1" customWidth="1"/>
    <col min="5120" max="5120" width="13" style="286" bestFit="1" customWidth="1"/>
    <col min="5121" max="5122" width="14.83203125" style="286" bestFit="1" customWidth="1"/>
    <col min="5123" max="5123" width="13.1640625" style="286" customWidth="1"/>
    <col min="5124" max="5125" width="13" style="286" bestFit="1" customWidth="1"/>
    <col min="5126" max="5126" width="12.83203125" style="286" customWidth="1"/>
    <col min="5127" max="5127" width="11.83203125" style="286" bestFit="1" customWidth="1"/>
    <col min="5128" max="5128" width="14.83203125" style="286" bestFit="1" customWidth="1"/>
    <col min="5129" max="5374" width="12.5" style="286"/>
    <col min="5375" max="5375" width="34" style="286" bestFit="1" customWidth="1"/>
    <col min="5376" max="5376" width="13" style="286" bestFit="1" customWidth="1"/>
    <col min="5377" max="5378" width="14.83203125" style="286" bestFit="1" customWidth="1"/>
    <col min="5379" max="5379" width="13.1640625" style="286" customWidth="1"/>
    <col min="5380" max="5381" width="13" style="286" bestFit="1" customWidth="1"/>
    <col min="5382" max="5382" width="12.83203125" style="286" customWidth="1"/>
    <col min="5383" max="5383" width="11.83203125" style="286" bestFit="1" customWidth="1"/>
    <col min="5384" max="5384" width="14.83203125" style="286" bestFit="1" customWidth="1"/>
    <col min="5385" max="5630" width="12.5" style="286"/>
    <col min="5631" max="5631" width="34" style="286" bestFit="1" customWidth="1"/>
    <col min="5632" max="5632" width="13" style="286" bestFit="1" customWidth="1"/>
    <col min="5633" max="5634" width="14.83203125" style="286" bestFit="1" customWidth="1"/>
    <col min="5635" max="5635" width="13.1640625" style="286" customWidth="1"/>
    <col min="5636" max="5637" width="13" style="286" bestFit="1" customWidth="1"/>
    <col min="5638" max="5638" width="12.83203125" style="286" customWidth="1"/>
    <col min="5639" max="5639" width="11.83203125" style="286" bestFit="1" customWidth="1"/>
    <col min="5640" max="5640" width="14.83203125" style="286" bestFit="1" customWidth="1"/>
    <col min="5641" max="5886" width="12.5" style="286"/>
    <col min="5887" max="5887" width="34" style="286" bestFit="1" customWidth="1"/>
    <col min="5888" max="5888" width="13" style="286" bestFit="1" customWidth="1"/>
    <col min="5889" max="5890" width="14.83203125" style="286" bestFit="1" customWidth="1"/>
    <col min="5891" max="5891" width="13.1640625" style="286" customWidth="1"/>
    <col min="5892" max="5893" width="13" style="286" bestFit="1" customWidth="1"/>
    <col min="5894" max="5894" width="12.83203125" style="286" customWidth="1"/>
    <col min="5895" max="5895" width="11.83203125" style="286" bestFit="1" customWidth="1"/>
    <col min="5896" max="5896" width="14.83203125" style="286" bestFit="1" customWidth="1"/>
    <col min="5897" max="6142" width="12.5" style="286"/>
    <col min="6143" max="6143" width="34" style="286" bestFit="1" customWidth="1"/>
    <col min="6144" max="6144" width="13" style="286" bestFit="1" customWidth="1"/>
    <col min="6145" max="6146" width="14.83203125" style="286" bestFit="1" customWidth="1"/>
    <col min="6147" max="6147" width="13.1640625" style="286" customWidth="1"/>
    <col min="6148" max="6149" width="13" style="286" bestFit="1" customWidth="1"/>
    <col min="6150" max="6150" width="12.83203125" style="286" customWidth="1"/>
    <col min="6151" max="6151" width="11.83203125" style="286" bestFit="1" customWidth="1"/>
    <col min="6152" max="6152" width="14.83203125" style="286" bestFit="1" customWidth="1"/>
    <col min="6153" max="6398" width="12.5" style="286"/>
    <col min="6399" max="6399" width="34" style="286" bestFit="1" customWidth="1"/>
    <col min="6400" max="6400" width="13" style="286" bestFit="1" customWidth="1"/>
    <col min="6401" max="6402" width="14.83203125" style="286" bestFit="1" customWidth="1"/>
    <col min="6403" max="6403" width="13.1640625" style="286" customWidth="1"/>
    <col min="6404" max="6405" width="13" style="286" bestFit="1" customWidth="1"/>
    <col min="6406" max="6406" width="12.83203125" style="286" customWidth="1"/>
    <col min="6407" max="6407" width="11.83203125" style="286" bestFit="1" customWidth="1"/>
    <col min="6408" max="6408" width="14.83203125" style="286" bestFit="1" customWidth="1"/>
    <col min="6409" max="6654" width="12.5" style="286"/>
    <col min="6655" max="6655" width="34" style="286" bestFit="1" customWidth="1"/>
    <col min="6656" max="6656" width="13" style="286" bestFit="1" customWidth="1"/>
    <col min="6657" max="6658" width="14.83203125" style="286" bestFit="1" customWidth="1"/>
    <col min="6659" max="6659" width="13.1640625" style="286" customWidth="1"/>
    <col min="6660" max="6661" width="13" style="286" bestFit="1" customWidth="1"/>
    <col min="6662" max="6662" width="12.83203125" style="286" customWidth="1"/>
    <col min="6663" max="6663" width="11.83203125" style="286" bestFit="1" customWidth="1"/>
    <col min="6664" max="6664" width="14.83203125" style="286" bestFit="1" customWidth="1"/>
    <col min="6665" max="6910" width="12.5" style="286"/>
    <col min="6911" max="6911" width="34" style="286" bestFit="1" customWidth="1"/>
    <col min="6912" max="6912" width="13" style="286" bestFit="1" customWidth="1"/>
    <col min="6913" max="6914" width="14.83203125" style="286" bestFit="1" customWidth="1"/>
    <col min="6915" max="6915" width="13.1640625" style="286" customWidth="1"/>
    <col min="6916" max="6917" width="13" style="286" bestFit="1" customWidth="1"/>
    <col min="6918" max="6918" width="12.83203125" style="286" customWidth="1"/>
    <col min="6919" max="6919" width="11.83203125" style="286" bestFit="1" customWidth="1"/>
    <col min="6920" max="6920" width="14.83203125" style="286" bestFit="1" customWidth="1"/>
    <col min="6921" max="7166" width="12.5" style="286"/>
    <col min="7167" max="7167" width="34" style="286" bestFit="1" customWidth="1"/>
    <col min="7168" max="7168" width="13" style="286" bestFit="1" customWidth="1"/>
    <col min="7169" max="7170" width="14.83203125" style="286" bestFit="1" customWidth="1"/>
    <col min="7171" max="7171" width="13.1640625" style="286" customWidth="1"/>
    <col min="7172" max="7173" width="13" style="286" bestFit="1" customWidth="1"/>
    <col min="7174" max="7174" width="12.83203125" style="286" customWidth="1"/>
    <col min="7175" max="7175" width="11.83203125" style="286" bestFit="1" customWidth="1"/>
    <col min="7176" max="7176" width="14.83203125" style="286" bestFit="1" customWidth="1"/>
    <col min="7177" max="7422" width="12.5" style="286"/>
    <col min="7423" max="7423" width="34" style="286" bestFit="1" customWidth="1"/>
    <col min="7424" max="7424" width="13" style="286" bestFit="1" customWidth="1"/>
    <col min="7425" max="7426" width="14.83203125" style="286" bestFit="1" customWidth="1"/>
    <col min="7427" max="7427" width="13.1640625" style="286" customWidth="1"/>
    <col min="7428" max="7429" width="13" style="286" bestFit="1" customWidth="1"/>
    <col min="7430" max="7430" width="12.83203125" style="286" customWidth="1"/>
    <col min="7431" max="7431" width="11.83203125" style="286" bestFit="1" customWidth="1"/>
    <col min="7432" max="7432" width="14.83203125" style="286" bestFit="1" customWidth="1"/>
    <col min="7433" max="7678" width="12.5" style="286"/>
    <col min="7679" max="7679" width="34" style="286" bestFit="1" customWidth="1"/>
    <col min="7680" max="7680" width="13" style="286" bestFit="1" customWidth="1"/>
    <col min="7681" max="7682" width="14.83203125" style="286" bestFit="1" customWidth="1"/>
    <col min="7683" max="7683" width="13.1640625" style="286" customWidth="1"/>
    <col min="7684" max="7685" width="13" style="286" bestFit="1" customWidth="1"/>
    <col min="7686" max="7686" width="12.83203125" style="286" customWidth="1"/>
    <col min="7687" max="7687" width="11.83203125" style="286" bestFit="1" customWidth="1"/>
    <col min="7688" max="7688" width="14.83203125" style="286" bestFit="1" customWidth="1"/>
    <col min="7689" max="7934" width="12.5" style="286"/>
    <col min="7935" max="7935" width="34" style="286" bestFit="1" customWidth="1"/>
    <col min="7936" max="7936" width="13" style="286" bestFit="1" customWidth="1"/>
    <col min="7937" max="7938" width="14.83203125" style="286" bestFit="1" customWidth="1"/>
    <col min="7939" max="7939" width="13.1640625" style="286" customWidth="1"/>
    <col min="7940" max="7941" width="13" style="286" bestFit="1" customWidth="1"/>
    <col min="7942" max="7942" width="12.83203125" style="286" customWidth="1"/>
    <col min="7943" max="7943" width="11.83203125" style="286" bestFit="1" customWidth="1"/>
    <col min="7944" max="7944" width="14.83203125" style="286" bestFit="1" customWidth="1"/>
    <col min="7945" max="8190" width="12.5" style="286"/>
    <col min="8191" max="8191" width="34" style="286" bestFit="1" customWidth="1"/>
    <col min="8192" max="8192" width="13" style="286" bestFit="1" customWidth="1"/>
    <col min="8193" max="8194" width="14.83203125" style="286" bestFit="1" customWidth="1"/>
    <col min="8195" max="8195" width="13.1640625" style="286" customWidth="1"/>
    <col min="8196" max="8197" width="13" style="286" bestFit="1" customWidth="1"/>
    <col min="8198" max="8198" width="12.83203125" style="286" customWidth="1"/>
    <col min="8199" max="8199" width="11.83203125" style="286" bestFit="1" customWidth="1"/>
    <col min="8200" max="8200" width="14.83203125" style="286" bestFit="1" customWidth="1"/>
    <col min="8201" max="8446" width="12.5" style="286"/>
    <col min="8447" max="8447" width="34" style="286" bestFit="1" customWidth="1"/>
    <col min="8448" max="8448" width="13" style="286" bestFit="1" customWidth="1"/>
    <col min="8449" max="8450" width="14.83203125" style="286" bestFit="1" customWidth="1"/>
    <col min="8451" max="8451" width="13.1640625" style="286" customWidth="1"/>
    <col min="8452" max="8453" width="13" style="286" bestFit="1" customWidth="1"/>
    <col min="8454" max="8454" width="12.83203125" style="286" customWidth="1"/>
    <col min="8455" max="8455" width="11.83203125" style="286" bestFit="1" customWidth="1"/>
    <col min="8456" max="8456" width="14.83203125" style="286" bestFit="1" customWidth="1"/>
    <col min="8457" max="8702" width="12.5" style="286"/>
    <col min="8703" max="8703" width="34" style="286" bestFit="1" customWidth="1"/>
    <col min="8704" max="8704" width="13" style="286" bestFit="1" customWidth="1"/>
    <col min="8705" max="8706" width="14.83203125" style="286" bestFit="1" customWidth="1"/>
    <col min="8707" max="8707" width="13.1640625" style="286" customWidth="1"/>
    <col min="8708" max="8709" width="13" style="286" bestFit="1" customWidth="1"/>
    <col min="8710" max="8710" width="12.83203125" style="286" customWidth="1"/>
    <col min="8711" max="8711" width="11.83203125" style="286" bestFit="1" customWidth="1"/>
    <col min="8712" max="8712" width="14.83203125" style="286" bestFit="1" customWidth="1"/>
    <col min="8713" max="8958" width="12.5" style="286"/>
    <col min="8959" max="8959" width="34" style="286" bestFit="1" customWidth="1"/>
    <col min="8960" max="8960" width="13" style="286" bestFit="1" customWidth="1"/>
    <col min="8961" max="8962" width="14.83203125" style="286" bestFit="1" customWidth="1"/>
    <col min="8963" max="8963" width="13.1640625" style="286" customWidth="1"/>
    <col min="8964" max="8965" width="13" style="286" bestFit="1" customWidth="1"/>
    <col min="8966" max="8966" width="12.83203125" style="286" customWidth="1"/>
    <col min="8967" max="8967" width="11.83203125" style="286" bestFit="1" customWidth="1"/>
    <col min="8968" max="8968" width="14.83203125" style="286" bestFit="1" customWidth="1"/>
    <col min="8969" max="9214" width="12.5" style="286"/>
    <col min="9215" max="9215" width="34" style="286" bestFit="1" customWidth="1"/>
    <col min="9216" max="9216" width="13" style="286" bestFit="1" customWidth="1"/>
    <col min="9217" max="9218" width="14.83203125" style="286" bestFit="1" customWidth="1"/>
    <col min="9219" max="9219" width="13.1640625" style="286" customWidth="1"/>
    <col min="9220" max="9221" width="13" style="286" bestFit="1" customWidth="1"/>
    <col min="9222" max="9222" width="12.83203125" style="286" customWidth="1"/>
    <col min="9223" max="9223" width="11.83203125" style="286" bestFit="1" customWidth="1"/>
    <col min="9224" max="9224" width="14.83203125" style="286" bestFit="1" customWidth="1"/>
    <col min="9225" max="9470" width="12.5" style="286"/>
    <col min="9471" max="9471" width="34" style="286" bestFit="1" customWidth="1"/>
    <col min="9472" max="9472" width="13" style="286" bestFit="1" customWidth="1"/>
    <col min="9473" max="9474" width="14.83203125" style="286" bestFit="1" customWidth="1"/>
    <col min="9475" max="9475" width="13.1640625" style="286" customWidth="1"/>
    <col min="9476" max="9477" width="13" style="286" bestFit="1" customWidth="1"/>
    <col min="9478" max="9478" width="12.83203125" style="286" customWidth="1"/>
    <col min="9479" max="9479" width="11.83203125" style="286" bestFit="1" customWidth="1"/>
    <col min="9480" max="9480" width="14.83203125" style="286" bestFit="1" customWidth="1"/>
    <col min="9481" max="9726" width="12.5" style="286"/>
    <col min="9727" max="9727" width="34" style="286" bestFit="1" customWidth="1"/>
    <col min="9728" max="9728" width="13" style="286" bestFit="1" customWidth="1"/>
    <col min="9729" max="9730" width="14.83203125" style="286" bestFit="1" customWidth="1"/>
    <col min="9731" max="9731" width="13.1640625" style="286" customWidth="1"/>
    <col min="9732" max="9733" width="13" style="286" bestFit="1" customWidth="1"/>
    <col min="9734" max="9734" width="12.83203125" style="286" customWidth="1"/>
    <col min="9735" max="9735" width="11.83203125" style="286" bestFit="1" customWidth="1"/>
    <col min="9736" max="9736" width="14.83203125" style="286" bestFit="1" customWidth="1"/>
    <col min="9737" max="9982" width="12.5" style="286"/>
    <col min="9983" max="9983" width="34" style="286" bestFit="1" customWidth="1"/>
    <col min="9984" max="9984" width="13" style="286" bestFit="1" customWidth="1"/>
    <col min="9985" max="9986" width="14.83203125" style="286" bestFit="1" customWidth="1"/>
    <col min="9987" max="9987" width="13.1640625" style="286" customWidth="1"/>
    <col min="9988" max="9989" width="13" style="286" bestFit="1" customWidth="1"/>
    <col min="9990" max="9990" width="12.83203125" style="286" customWidth="1"/>
    <col min="9991" max="9991" width="11.83203125" style="286" bestFit="1" customWidth="1"/>
    <col min="9992" max="9992" width="14.83203125" style="286" bestFit="1" customWidth="1"/>
    <col min="9993" max="10238" width="12.5" style="286"/>
    <col min="10239" max="10239" width="34" style="286" bestFit="1" customWidth="1"/>
    <col min="10240" max="10240" width="13" style="286" bestFit="1" customWidth="1"/>
    <col min="10241" max="10242" width="14.83203125" style="286" bestFit="1" customWidth="1"/>
    <col min="10243" max="10243" width="13.1640625" style="286" customWidth="1"/>
    <col min="10244" max="10245" width="13" style="286" bestFit="1" customWidth="1"/>
    <col min="10246" max="10246" width="12.83203125" style="286" customWidth="1"/>
    <col min="10247" max="10247" width="11.83203125" style="286" bestFit="1" customWidth="1"/>
    <col min="10248" max="10248" width="14.83203125" style="286" bestFit="1" customWidth="1"/>
    <col min="10249" max="10494" width="12.5" style="286"/>
    <col min="10495" max="10495" width="34" style="286" bestFit="1" customWidth="1"/>
    <col min="10496" max="10496" width="13" style="286" bestFit="1" customWidth="1"/>
    <col min="10497" max="10498" width="14.83203125" style="286" bestFit="1" customWidth="1"/>
    <col min="10499" max="10499" width="13.1640625" style="286" customWidth="1"/>
    <col min="10500" max="10501" width="13" style="286" bestFit="1" customWidth="1"/>
    <col min="10502" max="10502" width="12.83203125" style="286" customWidth="1"/>
    <col min="10503" max="10503" width="11.83203125" style="286" bestFit="1" customWidth="1"/>
    <col min="10504" max="10504" width="14.83203125" style="286" bestFit="1" customWidth="1"/>
    <col min="10505" max="10750" width="12.5" style="286"/>
    <col min="10751" max="10751" width="34" style="286" bestFit="1" customWidth="1"/>
    <col min="10752" max="10752" width="13" style="286" bestFit="1" customWidth="1"/>
    <col min="10753" max="10754" width="14.83203125" style="286" bestFit="1" customWidth="1"/>
    <col min="10755" max="10755" width="13.1640625" style="286" customWidth="1"/>
    <col min="10756" max="10757" width="13" style="286" bestFit="1" customWidth="1"/>
    <col min="10758" max="10758" width="12.83203125" style="286" customWidth="1"/>
    <col min="10759" max="10759" width="11.83203125" style="286" bestFit="1" customWidth="1"/>
    <col min="10760" max="10760" width="14.83203125" style="286" bestFit="1" customWidth="1"/>
    <col min="10761" max="11006" width="12.5" style="286"/>
    <col min="11007" max="11007" width="34" style="286" bestFit="1" customWidth="1"/>
    <col min="11008" max="11008" width="13" style="286" bestFit="1" customWidth="1"/>
    <col min="11009" max="11010" width="14.83203125" style="286" bestFit="1" customWidth="1"/>
    <col min="11011" max="11011" width="13.1640625" style="286" customWidth="1"/>
    <col min="11012" max="11013" width="13" style="286" bestFit="1" customWidth="1"/>
    <col min="11014" max="11014" width="12.83203125" style="286" customWidth="1"/>
    <col min="11015" max="11015" width="11.83203125" style="286" bestFit="1" customWidth="1"/>
    <col min="11016" max="11016" width="14.83203125" style="286" bestFit="1" customWidth="1"/>
    <col min="11017" max="11262" width="12.5" style="286"/>
    <col min="11263" max="11263" width="34" style="286" bestFit="1" customWidth="1"/>
    <col min="11264" max="11264" width="13" style="286" bestFit="1" customWidth="1"/>
    <col min="11265" max="11266" width="14.83203125" style="286" bestFit="1" customWidth="1"/>
    <col min="11267" max="11267" width="13.1640625" style="286" customWidth="1"/>
    <col min="11268" max="11269" width="13" style="286" bestFit="1" customWidth="1"/>
    <col min="11270" max="11270" width="12.83203125" style="286" customWidth="1"/>
    <col min="11271" max="11271" width="11.83203125" style="286" bestFit="1" customWidth="1"/>
    <col min="11272" max="11272" width="14.83203125" style="286" bestFit="1" customWidth="1"/>
    <col min="11273" max="11518" width="12.5" style="286"/>
    <col min="11519" max="11519" width="34" style="286" bestFit="1" customWidth="1"/>
    <col min="11520" max="11520" width="13" style="286" bestFit="1" customWidth="1"/>
    <col min="11521" max="11522" width="14.83203125" style="286" bestFit="1" customWidth="1"/>
    <col min="11523" max="11523" width="13.1640625" style="286" customWidth="1"/>
    <col min="11524" max="11525" width="13" style="286" bestFit="1" customWidth="1"/>
    <col min="11526" max="11526" width="12.83203125" style="286" customWidth="1"/>
    <col min="11527" max="11527" width="11.83203125" style="286" bestFit="1" customWidth="1"/>
    <col min="11528" max="11528" width="14.83203125" style="286" bestFit="1" customWidth="1"/>
    <col min="11529" max="11774" width="12.5" style="286"/>
    <col min="11775" max="11775" width="34" style="286" bestFit="1" customWidth="1"/>
    <col min="11776" max="11776" width="13" style="286" bestFit="1" customWidth="1"/>
    <col min="11777" max="11778" width="14.83203125" style="286" bestFit="1" customWidth="1"/>
    <col min="11779" max="11779" width="13.1640625" style="286" customWidth="1"/>
    <col min="11780" max="11781" width="13" style="286" bestFit="1" customWidth="1"/>
    <col min="11782" max="11782" width="12.83203125" style="286" customWidth="1"/>
    <col min="11783" max="11783" width="11.83203125" style="286" bestFit="1" customWidth="1"/>
    <col min="11784" max="11784" width="14.83203125" style="286" bestFit="1" customWidth="1"/>
    <col min="11785" max="12030" width="12.5" style="286"/>
    <col min="12031" max="12031" width="34" style="286" bestFit="1" customWidth="1"/>
    <col min="12032" max="12032" width="13" style="286" bestFit="1" customWidth="1"/>
    <col min="12033" max="12034" width="14.83203125" style="286" bestFit="1" customWidth="1"/>
    <col min="12035" max="12035" width="13.1640625" style="286" customWidth="1"/>
    <col min="12036" max="12037" width="13" style="286" bestFit="1" customWidth="1"/>
    <col min="12038" max="12038" width="12.83203125" style="286" customWidth="1"/>
    <col min="12039" max="12039" width="11.83203125" style="286" bestFit="1" customWidth="1"/>
    <col min="12040" max="12040" width="14.83203125" style="286" bestFit="1" customWidth="1"/>
    <col min="12041" max="12286" width="12.5" style="286"/>
    <col min="12287" max="12287" width="34" style="286" bestFit="1" customWidth="1"/>
    <col min="12288" max="12288" width="13" style="286" bestFit="1" customWidth="1"/>
    <col min="12289" max="12290" width="14.83203125" style="286" bestFit="1" customWidth="1"/>
    <col min="12291" max="12291" width="13.1640625" style="286" customWidth="1"/>
    <col min="12292" max="12293" width="13" style="286" bestFit="1" customWidth="1"/>
    <col min="12294" max="12294" width="12.83203125" style="286" customWidth="1"/>
    <col min="12295" max="12295" width="11.83203125" style="286" bestFit="1" customWidth="1"/>
    <col min="12296" max="12296" width="14.83203125" style="286" bestFit="1" customWidth="1"/>
    <col min="12297" max="12542" width="12.5" style="286"/>
    <col min="12543" max="12543" width="34" style="286" bestFit="1" customWidth="1"/>
    <col min="12544" max="12544" width="13" style="286" bestFit="1" customWidth="1"/>
    <col min="12545" max="12546" width="14.83203125" style="286" bestFit="1" customWidth="1"/>
    <col min="12547" max="12547" width="13.1640625" style="286" customWidth="1"/>
    <col min="12548" max="12549" width="13" style="286" bestFit="1" customWidth="1"/>
    <col min="12550" max="12550" width="12.83203125" style="286" customWidth="1"/>
    <col min="12551" max="12551" width="11.83203125" style="286" bestFit="1" customWidth="1"/>
    <col min="12552" max="12552" width="14.83203125" style="286" bestFit="1" customWidth="1"/>
    <col min="12553" max="12798" width="12.5" style="286"/>
    <col min="12799" max="12799" width="34" style="286" bestFit="1" customWidth="1"/>
    <col min="12800" max="12800" width="13" style="286" bestFit="1" customWidth="1"/>
    <col min="12801" max="12802" width="14.83203125" style="286" bestFit="1" customWidth="1"/>
    <col min="12803" max="12803" width="13.1640625" style="286" customWidth="1"/>
    <col min="12804" max="12805" width="13" style="286" bestFit="1" customWidth="1"/>
    <col min="12806" max="12806" width="12.83203125" style="286" customWidth="1"/>
    <col min="12807" max="12807" width="11.83203125" style="286" bestFit="1" customWidth="1"/>
    <col min="12808" max="12808" width="14.83203125" style="286" bestFit="1" customWidth="1"/>
    <col min="12809" max="13054" width="12.5" style="286"/>
    <col min="13055" max="13055" width="34" style="286" bestFit="1" customWidth="1"/>
    <col min="13056" max="13056" width="13" style="286" bestFit="1" customWidth="1"/>
    <col min="13057" max="13058" width="14.83203125" style="286" bestFit="1" customWidth="1"/>
    <col min="13059" max="13059" width="13.1640625" style="286" customWidth="1"/>
    <col min="13060" max="13061" width="13" style="286" bestFit="1" customWidth="1"/>
    <col min="13062" max="13062" width="12.83203125" style="286" customWidth="1"/>
    <col min="13063" max="13063" width="11.83203125" style="286" bestFit="1" customWidth="1"/>
    <col min="13064" max="13064" width="14.83203125" style="286" bestFit="1" customWidth="1"/>
    <col min="13065" max="13310" width="12.5" style="286"/>
    <col min="13311" max="13311" width="34" style="286" bestFit="1" customWidth="1"/>
    <col min="13312" max="13312" width="13" style="286" bestFit="1" customWidth="1"/>
    <col min="13313" max="13314" width="14.83203125" style="286" bestFit="1" customWidth="1"/>
    <col min="13315" max="13315" width="13.1640625" style="286" customWidth="1"/>
    <col min="13316" max="13317" width="13" style="286" bestFit="1" customWidth="1"/>
    <col min="13318" max="13318" width="12.83203125" style="286" customWidth="1"/>
    <col min="13319" max="13319" width="11.83203125" style="286" bestFit="1" customWidth="1"/>
    <col min="13320" max="13320" width="14.83203125" style="286" bestFit="1" customWidth="1"/>
    <col min="13321" max="13566" width="12.5" style="286"/>
    <col min="13567" max="13567" width="34" style="286" bestFit="1" customWidth="1"/>
    <col min="13568" max="13568" width="13" style="286" bestFit="1" customWidth="1"/>
    <col min="13569" max="13570" width="14.83203125" style="286" bestFit="1" customWidth="1"/>
    <col min="13571" max="13571" width="13.1640625" style="286" customWidth="1"/>
    <col min="13572" max="13573" width="13" style="286" bestFit="1" customWidth="1"/>
    <col min="13574" max="13574" width="12.83203125" style="286" customWidth="1"/>
    <col min="13575" max="13575" width="11.83203125" style="286" bestFit="1" customWidth="1"/>
    <col min="13576" max="13576" width="14.83203125" style="286" bestFit="1" customWidth="1"/>
    <col min="13577" max="13822" width="12.5" style="286"/>
    <col min="13823" max="13823" width="34" style="286" bestFit="1" customWidth="1"/>
    <col min="13824" max="13824" width="13" style="286" bestFit="1" customWidth="1"/>
    <col min="13825" max="13826" width="14.83203125" style="286" bestFit="1" customWidth="1"/>
    <col min="13827" max="13827" width="13.1640625" style="286" customWidth="1"/>
    <col min="13828" max="13829" width="13" style="286" bestFit="1" customWidth="1"/>
    <col min="13830" max="13830" width="12.83203125" style="286" customWidth="1"/>
    <col min="13831" max="13831" width="11.83203125" style="286" bestFit="1" customWidth="1"/>
    <col min="13832" max="13832" width="14.83203125" style="286" bestFit="1" customWidth="1"/>
    <col min="13833" max="14078" width="12.5" style="286"/>
    <col min="14079" max="14079" width="34" style="286" bestFit="1" customWidth="1"/>
    <col min="14080" max="14080" width="13" style="286" bestFit="1" customWidth="1"/>
    <col min="14081" max="14082" width="14.83203125" style="286" bestFit="1" customWidth="1"/>
    <col min="14083" max="14083" width="13.1640625" style="286" customWidth="1"/>
    <col min="14084" max="14085" width="13" style="286" bestFit="1" customWidth="1"/>
    <col min="14086" max="14086" width="12.83203125" style="286" customWidth="1"/>
    <col min="14087" max="14087" width="11.83203125" style="286" bestFit="1" customWidth="1"/>
    <col min="14088" max="14088" width="14.83203125" style="286" bestFit="1" customWidth="1"/>
    <col min="14089" max="14334" width="12.5" style="286"/>
    <col min="14335" max="14335" width="34" style="286" bestFit="1" customWidth="1"/>
    <col min="14336" max="14336" width="13" style="286" bestFit="1" customWidth="1"/>
    <col min="14337" max="14338" width="14.83203125" style="286" bestFit="1" customWidth="1"/>
    <col min="14339" max="14339" width="13.1640625" style="286" customWidth="1"/>
    <col min="14340" max="14341" width="13" style="286" bestFit="1" customWidth="1"/>
    <col min="14342" max="14342" width="12.83203125" style="286" customWidth="1"/>
    <col min="14343" max="14343" width="11.83203125" style="286" bestFit="1" customWidth="1"/>
    <col min="14344" max="14344" width="14.83203125" style="286" bestFit="1" customWidth="1"/>
    <col min="14345" max="14590" width="12.5" style="286"/>
    <col min="14591" max="14591" width="34" style="286" bestFit="1" customWidth="1"/>
    <col min="14592" max="14592" width="13" style="286" bestFit="1" customWidth="1"/>
    <col min="14593" max="14594" width="14.83203125" style="286" bestFit="1" customWidth="1"/>
    <col min="14595" max="14595" width="13.1640625" style="286" customWidth="1"/>
    <col min="14596" max="14597" width="13" style="286" bestFit="1" customWidth="1"/>
    <col min="14598" max="14598" width="12.83203125" style="286" customWidth="1"/>
    <col min="14599" max="14599" width="11.83203125" style="286" bestFit="1" customWidth="1"/>
    <col min="14600" max="14600" width="14.83203125" style="286" bestFit="1" customWidth="1"/>
    <col min="14601" max="14846" width="12.5" style="286"/>
    <col min="14847" max="14847" width="34" style="286" bestFit="1" customWidth="1"/>
    <col min="14848" max="14848" width="13" style="286" bestFit="1" customWidth="1"/>
    <col min="14849" max="14850" width="14.83203125" style="286" bestFit="1" customWidth="1"/>
    <col min="14851" max="14851" width="13.1640625" style="286" customWidth="1"/>
    <col min="14852" max="14853" width="13" style="286" bestFit="1" customWidth="1"/>
    <col min="14854" max="14854" width="12.83203125" style="286" customWidth="1"/>
    <col min="14855" max="14855" width="11.83203125" style="286" bestFit="1" customWidth="1"/>
    <col min="14856" max="14856" width="14.83203125" style="286" bestFit="1" customWidth="1"/>
    <col min="14857" max="15102" width="12.5" style="286"/>
    <col min="15103" max="15103" width="34" style="286" bestFit="1" customWidth="1"/>
    <col min="15104" max="15104" width="13" style="286" bestFit="1" customWidth="1"/>
    <col min="15105" max="15106" width="14.83203125" style="286" bestFit="1" customWidth="1"/>
    <col min="15107" max="15107" width="13.1640625" style="286" customWidth="1"/>
    <col min="15108" max="15109" width="13" style="286" bestFit="1" customWidth="1"/>
    <col min="15110" max="15110" width="12.83203125" style="286" customWidth="1"/>
    <col min="15111" max="15111" width="11.83203125" style="286" bestFit="1" customWidth="1"/>
    <col min="15112" max="15112" width="14.83203125" style="286" bestFit="1" customWidth="1"/>
    <col min="15113" max="15358" width="12.5" style="286"/>
    <col min="15359" max="15359" width="34" style="286" bestFit="1" customWidth="1"/>
    <col min="15360" max="15360" width="13" style="286" bestFit="1" customWidth="1"/>
    <col min="15361" max="15362" width="14.83203125" style="286" bestFit="1" customWidth="1"/>
    <col min="15363" max="15363" width="13.1640625" style="286" customWidth="1"/>
    <col min="15364" max="15365" width="13" style="286" bestFit="1" customWidth="1"/>
    <col min="15366" max="15366" width="12.83203125" style="286" customWidth="1"/>
    <col min="15367" max="15367" width="11.83203125" style="286" bestFit="1" customWidth="1"/>
    <col min="15368" max="15368" width="14.83203125" style="286" bestFit="1" customWidth="1"/>
    <col min="15369" max="15614" width="12.5" style="286"/>
    <col min="15615" max="15615" width="34" style="286" bestFit="1" customWidth="1"/>
    <col min="15616" max="15616" width="13" style="286" bestFit="1" customWidth="1"/>
    <col min="15617" max="15618" width="14.83203125" style="286" bestFit="1" customWidth="1"/>
    <col min="15619" max="15619" width="13.1640625" style="286" customWidth="1"/>
    <col min="15620" max="15621" width="13" style="286" bestFit="1" customWidth="1"/>
    <col min="15622" max="15622" width="12.83203125" style="286" customWidth="1"/>
    <col min="15623" max="15623" width="11.83203125" style="286" bestFit="1" customWidth="1"/>
    <col min="15624" max="15624" width="14.83203125" style="286" bestFit="1" customWidth="1"/>
    <col min="15625" max="15870" width="12.5" style="286"/>
    <col min="15871" max="15871" width="34" style="286" bestFit="1" customWidth="1"/>
    <col min="15872" max="15872" width="13" style="286" bestFit="1" customWidth="1"/>
    <col min="15873" max="15874" width="14.83203125" style="286" bestFit="1" customWidth="1"/>
    <col min="15875" max="15875" width="13.1640625" style="286" customWidth="1"/>
    <col min="15876" max="15877" width="13" style="286" bestFit="1" customWidth="1"/>
    <col min="15878" max="15878" width="12.83203125" style="286" customWidth="1"/>
    <col min="15879" max="15879" width="11.83203125" style="286" bestFit="1" customWidth="1"/>
    <col min="15880" max="15880" width="14.83203125" style="286" bestFit="1" customWidth="1"/>
    <col min="15881" max="16126" width="12.5" style="286"/>
    <col min="16127" max="16127" width="34" style="286" bestFit="1" customWidth="1"/>
    <col min="16128" max="16128" width="13" style="286" bestFit="1" customWidth="1"/>
    <col min="16129" max="16130" width="14.83203125" style="286" bestFit="1" customWidth="1"/>
    <col min="16131" max="16131" width="13.1640625" style="286" customWidth="1"/>
    <col min="16132" max="16133" width="13" style="286" bestFit="1" customWidth="1"/>
    <col min="16134" max="16134" width="12.83203125" style="286" customWidth="1"/>
    <col min="16135" max="16135" width="11.83203125" style="286" bestFit="1" customWidth="1"/>
    <col min="16136" max="16136" width="14.83203125" style="286" bestFit="1" customWidth="1"/>
    <col min="16137" max="16384" width="12.5" style="286"/>
  </cols>
  <sheetData>
    <row r="1" spans="1:11" x14ac:dyDescent="0.2">
      <c r="A1" s="1396" t="str">
        <f>CONCATENATE("25. melléklet"," ",ALAPADATOK!A7," ",ALAPADATOK!B7," ",ALAPADATOK!C7," ",ALAPADATOK!D8," ",ALAPADATOK!E7," ",ALAPADATOK!F7," ",ALAPADATOK!G7," ",ALAPADATOK!H7)</f>
        <v>25. melléklet az 5 / 2023. ( II.24. ) önkormányzati rendelethez</v>
      </c>
      <c r="B1" s="1396"/>
      <c r="C1" s="1396"/>
      <c r="D1" s="1396"/>
      <c r="E1" s="1396"/>
      <c r="F1" s="1396"/>
      <c r="G1" s="1396"/>
      <c r="H1" s="1396"/>
      <c r="I1" s="1396"/>
      <c r="J1" s="1396"/>
      <c r="K1" s="1396"/>
    </row>
    <row r="2" spans="1:11" x14ac:dyDescent="0.2">
      <c r="A2" s="572"/>
      <c r="B2" s="572"/>
      <c r="C2" s="572"/>
      <c r="D2" s="573"/>
      <c r="E2" s="572"/>
      <c r="F2" s="572"/>
      <c r="G2" s="575"/>
      <c r="H2" s="575"/>
      <c r="I2" s="575"/>
      <c r="J2" s="575"/>
      <c r="K2" s="576"/>
    </row>
    <row r="3" spans="1:11" x14ac:dyDescent="0.2">
      <c r="A3" s="572"/>
      <c r="B3" s="572"/>
      <c r="C3" s="572"/>
      <c r="D3" s="573"/>
      <c r="E3" s="572"/>
      <c r="F3" s="572"/>
      <c r="G3" s="575"/>
      <c r="H3" s="575"/>
      <c r="I3" s="575"/>
      <c r="J3" s="575"/>
      <c r="K3" s="577"/>
    </row>
    <row r="4" spans="1:11" ht="19.5" x14ac:dyDescent="0.35">
      <c r="A4" s="1407" t="s">
        <v>362</v>
      </c>
      <c r="B4" s="1407"/>
      <c r="C4" s="1407"/>
      <c r="D4" s="1407"/>
      <c r="E4" s="1407"/>
      <c r="F4" s="1407"/>
      <c r="G4" s="1407"/>
      <c r="H4" s="1407"/>
      <c r="I4" s="1407"/>
      <c r="J4" s="1407"/>
      <c r="K4" s="1407"/>
    </row>
    <row r="5" spans="1:11" ht="19.5" x14ac:dyDescent="0.35">
      <c r="A5" s="1407" t="s">
        <v>989</v>
      </c>
      <c r="B5" s="1407"/>
      <c r="C5" s="1407"/>
      <c r="D5" s="1407"/>
      <c r="E5" s="1407"/>
      <c r="F5" s="1407"/>
      <c r="G5" s="1407"/>
      <c r="H5" s="1407"/>
      <c r="I5" s="1407"/>
      <c r="J5" s="1407"/>
      <c r="K5" s="1407"/>
    </row>
    <row r="6" spans="1:11" ht="13.5" thickBot="1" x14ac:dyDescent="0.25">
      <c r="A6" s="913"/>
      <c r="B6" s="913"/>
      <c r="C6" s="913"/>
      <c r="D6" s="913"/>
      <c r="E6" s="913"/>
      <c r="F6" s="913"/>
      <c r="G6" s="913"/>
      <c r="H6" s="913"/>
      <c r="I6" s="913"/>
      <c r="J6" s="913"/>
      <c r="K6" s="913"/>
    </row>
    <row r="7" spans="1:11" ht="15.95" customHeight="1" x14ac:dyDescent="0.2">
      <c r="A7" s="1397" t="s">
        <v>871</v>
      </c>
      <c r="B7" s="1399" t="s">
        <v>375</v>
      </c>
      <c r="C7" s="1400"/>
      <c r="D7" s="1401"/>
      <c r="E7" s="1402" t="s">
        <v>376</v>
      </c>
      <c r="F7" s="1403"/>
      <c r="G7" s="1403"/>
      <c r="H7" s="1403"/>
      <c r="I7" s="1403"/>
      <c r="J7" s="1403"/>
      <c r="K7" s="1404"/>
    </row>
    <row r="8" spans="1:11" ht="15.95" customHeight="1" x14ac:dyDescent="0.2">
      <c r="A8" s="1398"/>
      <c r="B8" s="1408" t="s">
        <v>906</v>
      </c>
      <c r="C8" s="1408" t="s">
        <v>1067</v>
      </c>
      <c r="D8" s="1408" t="s">
        <v>911</v>
      </c>
      <c r="E8" s="1408" t="s">
        <v>907</v>
      </c>
      <c r="F8" s="1408" t="s">
        <v>912</v>
      </c>
      <c r="G8" s="1408" t="s">
        <v>908</v>
      </c>
      <c r="H8" s="1405" t="s">
        <v>136</v>
      </c>
      <c r="I8" s="1408" t="s">
        <v>910</v>
      </c>
      <c r="J8" s="1408" t="s">
        <v>909</v>
      </c>
      <c r="K8" s="1410" t="s">
        <v>911</v>
      </c>
    </row>
    <row r="9" spans="1:11" ht="15.95" customHeight="1" thickBot="1" x14ac:dyDescent="0.25">
      <c r="A9" s="1398"/>
      <c r="B9" s="1409"/>
      <c r="C9" s="1409"/>
      <c r="D9" s="1409"/>
      <c r="E9" s="1409"/>
      <c r="F9" s="1409"/>
      <c r="G9" s="1409"/>
      <c r="H9" s="1406"/>
      <c r="I9" s="1409"/>
      <c r="J9" s="1409"/>
      <c r="K9" s="1411"/>
    </row>
    <row r="10" spans="1:11" ht="15.95" customHeight="1" thickBot="1" x14ac:dyDescent="0.25">
      <c r="A10" s="1088" t="s">
        <v>385</v>
      </c>
      <c r="B10" s="1089" t="s">
        <v>386</v>
      </c>
      <c r="C10" s="1089" t="s">
        <v>988</v>
      </c>
      <c r="D10" s="1089" t="s">
        <v>987</v>
      </c>
      <c r="E10" s="1089" t="s">
        <v>438</v>
      </c>
      <c r="F10" s="1089" t="s">
        <v>981</v>
      </c>
      <c r="G10" s="1089" t="s">
        <v>982</v>
      </c>
      <c r="H10" s="1090" t="s">
        <v>983</v>
      </c>
      <c r="I10" s="1089" t="s">
        <v>984</v>
      </c>
      <c r="J10" s="1089" t="s">
        <v>985</v>
      </c>
      <c r="K10" s="1091" t="s">
        <v>986</v>
      </c>
    </row>
    <row r="11" spans="1:11" ht="18" customHeight="1" x14ac:dyDescent="0.2">
      <c r="A11" s="1258" t="s">
        <v>482</v>
      </c>
      <c r="B11" s="1259">
        <f>'17. sz. mell. PH.'!C36+'17. sz. mell. PH.'!C38</f>
        <v>70630429</v>
      </c>
      <c r="C11" s="1260">
        <f>K11-B11</f>
        <v>446918705</v>
      </c>
      <c r="D11" s="1261">
        <f>SUM(B11:C11)</f>
        <v>517549134</v>
      </c>
      <c r="E11" s="1262">
        <f>'17. sz. mell. PH.'!C46</f>
        <v>207191805</v>
      </c>
      <c r="F11" s="1262">
        <f>'17. sz. mell. PH.'!C47</f>
        <v>30405834</v>
      </c>
      <c r="G11" s="1262">
        <f>'17. sz. mell. PH.'!C48</f>
        <v>279328824</v>
      </c>
      <c r="H11" s="1263">
        <f>'17. sz. mell. PH.'!C50</f>
        <v>0</v>
      </c>
      <c r="I11" s="1263">
        <f>'17. sz. mell. PH.'!C49</f>
        <v>0</v>
      </c>
      <c r="J11" s="1262">
        <f>'17. sz. mell. PH.'!C52</f>
        <v>622671</v>
      </c>
      <c r="K11" s="1264">
        <f>SUM(E11:J11)</f>
        <v>517549134</v>
      </c>
    </row>
    <row r="12" spans="1:11" ht="15.95" customHeight="1" x14ac:dyDescent="0.2">
      <c r="A12" s="1083" t="s">
        <v>0</v>
      </c>
      <c r="B12" s="1084">
        <f>'21. sz. mell EOI'!C35+'21. sz. mell EOI'!C37</f>
        <v>13290321</v>
      </c>
      <c r="C12" s="1084">
        <f>K12-B12</f>
        <v>366555627</v>
      </c>
      <c r="D12" s="1085">
        <f>B12+C12</f>
        <v>379845948</v>
      </c>
      <c r="E12" s="1084">
        <f>'21. sz. mell EOI'!C43</f>
        <v>246969588</v>
      </c>
      <c r="F12" s="1084">
        <f>'21. sz. mell EOI'!C44</f>
        <v>36233577</v>
      </c>
      <c r="G12" s="1084">
        <f>'21. sz. mell EOI'!C45</f>
        <v>94831670</v>
      </c>
      <c r="H12" s="1086">
        <f>'21. sz. mell EOI'!C47</f>
        <v>0</v>
      </c>
      <c r="I12" s="1086">
        <f>'21. sz. mell EOI'!C46</f>
        <v>0</v>
      </c>
      <c r="J12" s="1086">
        <f>'21. sz. mell EOI'!C48</f>
        <v>1811113</v>
      </c>
      <c r="K12" s="1087">
        <f>SUM(E12:J12)</f>
        <v>379845948</v>
      </c>
    </row>
    <row r="13" spans="1:11" ht="15.95" customHeight="1" x14ac:dyDescent="0.2">
      <c r="A13" s="578" t="s">
        <v>495</v>
      </c>
      <c r="B13" s="902">
        <f>'24. sz. mell EKIK'!C36+'24. sz. mell EKIK'!C38</f>
        <v>36235392</v>
      </c>
      <c r="C13" s="902">
        <f>K13-B13</f>
        <v>123669763</v>
      </c>
      <c r="D13" s="685">
        <f>B13+C13</f>
        <v>159905155</v>
      </c>
      <c r="E13" s="902">
        <f>'24. sz. mell EKIK'!C46</f>
        <v>75823961</v>
      </c>
      <c r="F13" s="902">
        <f>'24. sz. mell EKIK'!C47</f>
        <v>10570701</v>
      </c>
      <c r="G13" s="902">
        <f>'24. sz. mell EKIK'!C48</f>
        <v>64397098</v>
      </c>
      <c r="H13" s="902">
        <f>'24. sz. mell EKIK'!C50</f>
        <v>712</v>
      </c>
      <c r="I13" s="902">
        <f>'24. sz. mell EKIK'!C49</f>
        <v>0</v>
      </c>
      <c r="J13" s="902">
        <f>'24. sz. mell EKIK'!C51</f>
        <v>9112683</v>
      </c>
      <c r="K13" s="675">
        <f>SUM(E13:J13)</f>
        <v>159905155</v>
      </c>
    </row>
    <row r="14" spans="1:11" ht="18" customHeight="1" x14ac:dyDescent="0.2">
      <c r="A14" s="579" t="s">
        <v>481</v>
      </c>
      <c r="B14" s="1279">
        <f>'27. sz. mell Kornisné Kp.'!C36+'27. sz. mell Kornisné Kp.'!C38</f>
        <v>348122153</v>
      </c>
      <c r="C14" s="1278">
        <f>K14-B14</f>
        <v>815494657</v>
      </c>
      <c r="D14" s="685">
        <f>B14+C14</f>
        <v>1163616810</v>
      </c>
      <c r="E14" s="1166">
        <f>'27. sz. mell Kornisné Kp.'!C44</f>
        <v>687977622</v>
      </c>
      <c r="F14" s="1166">
        <f>'27. sz. mell Kornisné Kp.'!C45</f>
        <v>99766672</v>
      </c>
      <c r="G14" s="902">
        <f>'27. sz. mell Kornisné Kp.'!C46</f>
        <v>350932022</v>
      </c>
      <c r="H14" s="902">
        <f>'27. sz. mell Kornisné Kp.'!C48</f>
        <v>0</v>
      </c>
      <c r="I14" s="902">
        <f>'27. sz. mell Kornisné Kp.'!C47</f>
        <v>0</v>
      </c>
      <c r="J14" s="1278">
        <f>'27. sz. mell Kornisné Kp.'!C49</f>
        <v>24940494</v>
      </c>
      <c r="K14" s="675">
        <f>SUM(E14:J14)</f>
        <v>1163616810</v>
      </c>
    </row>
    <row r="15" spans="1:11" ht="18" customHeight="1" x14ac:dyDescent="0.2">
      <c r="A15" s="579" t="s">
        <v>471</v>
      </c>
      <c r="B15" s="900">
        <f>'31. sz. mell TIB  '!C36+'31. sz. mell TIB  '!C38</f>
        <v>2895260</v>
      </c>
      <c r="C15" s="902">
        <f>K15-B15</f>
        <v>133640413</v>
      </c>
      <c r="D15" s="685">
        <f>B15+C15</f>
        <v>136535673</v>
      </c>
      <c r="E15" s="1021">
        <f>'31. sz. mell TIB  '!C44</f>
        <v>101859013</v>
      </c>
      <c r="F15" s="1021">
        <f>'31. sz. mell TIB  '!C45</f>
        <v>13799567</v>
      </c>
      <c r="G15" s="1021">
        <f>'31. sz. mell TIB  '!C46</f>
        <v>19088193</v>
      </c>
      <c r="H15" s="676">
        <f>'31. sz. mell TIB  '!C48</f>
        <v>0</v>
      </c>
      <c r="I15" s="676">
        <f>'31. sz. mell TIB  '!C47</f>
        <v>0</v>
      </c>
      <c r="J15" s="903">
        <f>'31. sz. mell TIB  '!C49</f>
        <v>1788900</v>
      </c>
      <c r="K15" s="675">
        <f>SUM(E15:J15)</f>
        <v>136535673</v>
      </c>
    </row>
    <row r="16" spans="1:11" s="388" customFormat="1" ht="18" customHeight="1" thickBot="1" x14ac:dyDescent="0.25">
      <c r="A16" s="580" t="s">
        <v>363</v>
      </c>
      <c r="B16" s="667">
        <f>SUM(B11:B15)</f>
        <v>471173555</v>
      </c>
      <c r="C16" s="667">
        <f t="shared" ref="C16:J16" si="0">SUM(C11:C15)</f>
        <v>1886279165</v>
      </c>
      <c r="D16" s="667">
        <f t="shared" si="0"/>
        <v>2357452720</v>
      </c>
      <c r="E16" s="667">
        <f t="shared" si="0"/>
        <v>1319821989</v>
      </c>
      <c r="F16" s="667">
        <f t="shared" si="0"/>
        <v>190776351</v>
      </c>
      <c r="G16" s="667">
        <f t="shared" si="0"/>
        <v>808577807</v>
      </c>
      <c r="H16" s="667">
        <f t="shared" si="0"/>
        <v>712</v>
      </c>
      <c r="I16" s="667">
        <f t="shared" si="0"/>
        <v>0</v>
      </c>
      <c r="J16" s="667">
        <f t="shared" si="0"/>
        <v>38275861</v>
      </c>
      <c r="K16" s="1265">
        <f>SUM(K11:K15)</f>
        <v>2357452720</v>
      </c>
    </row>
    <row r="17" spans="1:11" s="350" customFormat="1" ht="11.25" x14ac:dyDescent="0.2">
      <c r="A17" s="581"/>
      <c r="B17" s="581"/>
      <c r="C17" s="581"/>
      <c r="D17" s="582"/>
      <c r="E17" s="581"/>
      <c r="F17" s="581"/>
      <c r="G17" s="581"/>
      <c r="H17" s="581"/>
      <c r="I17" s="581"/>
      <c r="J17" s="581"/>
      <c r="K17" s="582"/>
    </row>
    <row r="18" spans="1:11" s="350" customFormat="1" ht="11.25" hidden="1" x14ac:dyDescent="0.2">
      <c r="A18" s="1266" t="s">
        <v>1074</v>
      </c>
      <c r="B18" s="581">
        <f>'14. sz. mell. Önk.'!C90</f>
        <v>7715362013</v>
      </c>
      <c r="C18" s="581"/>
      <c r="D18" s="582"/>
      <c r="E18" s="581"/>
      <c r="F18" s="581"/>
      <c r="G18" s="581"/>
      <c r="H18" s="581"/>
      <c r="I18" s="581"/>
      <c r="J18" s="581"/>
      <c r="K18" s="581">
        <f>'14. sz. mell. Önk.'!C153</f>
        <v>5829082848</v>
      </c>
    </row>
    <row r="19" spans="1:11" hidden="1" x14ac:dyDescent="0.2">
      <c r="B19" s="581">
        <f>SUM(B16:B18)</f>
        <v>8186535568</v>
      </c>
      <c r="C19" s="583"/>
      <c r="D19" s="583"/>
      <c r="K19" s="581">
        <f>SUM(K16:K18)</f>
        <v>8186535568</v>
      </c>
    </row>
    <row r="20" spans="1:11" hidden="1" x14ac:dyDescent="0.2">
      <c r="B20" s="581">
        <f>'1. sz.mell. '!C94</f>
        <v>8186535568</v>
      </c>
      <c r="C20" s="583"/>
      <c r="K20" s="581">
        <f>'1. sz.mell. '!C160</f>
        <v>8186535568</v>
      </c>
    </row>
    <row r="21" spans="1:11" hidden="1" x14ac:dyDescent="0.2">
      <c r="B21" s="581">
        <f>B20-B19</f>
        <v>0</v>
      </c>
      <c r="K21" s="581">
        <f>K20-K19</f>
        <v>0</v>
      </c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31"/>
  <sheetViews>
    <sheetView workbookViewId="0">
      <selection activeCell="A2" sqref="A2"/>
    </sheetView>
  </sheetViews>
  <sheetFormatPr defaultColWidth="10.6640625" defaultRowHeight="12.75" x14ac:dyDescent="0.2"/>
  <cols>
    <col min="1" max="1" width="66.33203125" style="392" bestFit="1" customWidth="1"/>
    <col min="2" max="2" width="22.6640625" style="392" customWidth="1"/>
    <col min="3" max="3" width="11.6640625" style="392" bestFit="1" customWidth="1"/>
    <col min="4" max="16384" width="10.6640625" style="392"/>
  </cols>
  <sheetData>
    <row r="1" spans="1:5" ht="15.75" x14ac:dyDescent="0.25">
      <c r="A1" s="1412" t="str">
        <f>CONCATENATE("26. melléklet"," ",ALAPADATOK!A7," ",ALAPADATOK!B7," ",ALAPADATOK!C7," ",ALAPADATOK!D8," ",ALAPADATOK!E7," ",ALAPADATOK!F7," ",ALAPADATOK!G7," ",ALAPADATOK!H7)</f>
        <v>26. melléklet az 5 / 2023. ( II.24. ) önkormányzati rendelethez</v>
      </c>
      <c r="B1" s="1412"/>
      <c r="C1" s="287"/>
      <c r="D1" s="287"/>
      <c r="E1" s="287"/>
    </row>
    <row r="2" spans="1:5" ht="15.75" x14ac:dyDescent="0.25">
      <c r="A2" s="287"/>
      <c r="B2" s="288"/>
    </row>
    <row r="3" spans="1:5" ht="15.75" x14ac:dyDescent="0.25">
      <c r="A3" s="287"/>
      <c r="B3" s="331"/>
    </row>
    <row r="4" spans="1:5" ht="15.75" x14ac:dyDescent="0.25">
      <c r="A4" s="287"/>
      <c r="B4" s="332"/>
    </row>
    <row r="5" spans="1:5" ht="15.75" x14ac:dyDescent="0.25">
      <c r="A5" s="287"/>
      <c r="B5" s="332"/>
    </row>
    <row r="6" spans="1:5" ht="15.75" x14ac:dyDescent="0.25">
      <c r="A6" s="287"/>
      <c r="B6" s="333"/>
    </row>
    <row r="7" spans="1:5" ht="19.5" x14ac:dyDescent="0.2">
      <c r="A7" s="1413" t="s">
        <v>359</v>
      </c>
      <c r="B7" s="1413"/>
    </row>
    <row r="8" spans="1:5" ht="19.5" x14ac:dyDescent="0.35">
      <c r="A8" s="1414" t="s">
        <v>1014</v>
      </c>
      <c r="B8" s="1414"/>
    </row>
    <row r="9" spans="1:5" ht="20.25" thickBot="1" x14ac:dyDescent="0.4">
      <c r="A9" s="976"/>
      <c r="B9" s="976"/>
    </row>
    <row r="10" spans="1:5" s="393" customFormat="1" ht="33" customHeight="1" thickBot="1" x14ac:dyDescent="0.25">
      <c r="A10" s="908" t="s">
        <v>57</v>
      </c>
      <c r="B10" s="1003" t="s">
        <v>913</v>
      </c>
    </row>
    <row r="11" spans="1:5" ht="16.5" thickBot="1" x14ac:dyDescent="0.3">
      <c r="A11" s="1100" t="s">
        <v>992</v>
      </c>
      <c r="B11" s="1143">
        <f>10000000+2761613+2341692-1769228+5286934+3399263-4655454+23132920-39578708</f>
        <v>919032</v>
      </c>
    </row>
    <row r="12" spans="1:5" ht="16.5" thickBot="1" x14ac:dyDescent="0.3">
      <c r="A12" s="1100" t="s">
        <v>360</v>
      </c>
      <c r="B12" s="1316">
        <f>SUM(B13:B27)</f>
        <v>104402769</v>
      </c>
    </row>
    <row r="13" spans="1:5" ht="15.75" x14ac:dyDescent="0.25">
      <c r="A13" s="1303" t="s">
        <v>571</v>
      </c>
      <c r="B13" s="1304">
        <f>10000000-10000000</f>
        <v>0</v>
      </c>
      <c r="C13" s="335"/>
      <c r="D13" s="334"/>
    </row>
    <row r="14" spans="1:5" ht="15.75" x14ac:dyDescent="0.25">
      <c r="A14" s="1092" t="s">
        <v>572</v>
      </c>
      <c r="B14" s="1093">
        <v>1000000</v>
      </c>
      <c r="C14" s="335"/>
      <c r="D14" s="334"/>
    </row>
    <row r="15" spans="1:5" ht="15.75" x14ac:dyDescent="0.25">
      <c r="A15" s="1092" t="s">
        <v>840</v>
      </c>
      <c r="B15" s="1093">
        <f>685553-108134</f>
        <v>577419</v>
      </c>
      <c r="C15" s="335"/>
      <c r="D15" s="334"/>
    </row>
    <row r="16" spans="1:5" ht="15.75" x14ac:dyDescent="0.25">
      <c r="A16" s="1094" t="s">
        <v>703</v>
      </c>
      <c r="B16" s="1093">
        <f>45418996+342126</f>
        <v>45761122</v>
      </c>
      <c r="C16" s="335"/>
      <c r="D16" s="334"/>
    </row>
    <row r="17" spans="1:4" ht="15.75" x14ac:dyDescent="0.25">
      <c r="A17" s="1094" t="s">
        <v>845</v>
      </c>
      <c r="B17" s="1093">
        <f>30581761-2794000-400000</f>
        <v>27387761</v>
      </c>
      <c r="C17" s="335"/>
      <c r="D17" s="334"/>
    </row>
    <row r="18" spans="1:4" ht="15.75" x14ac:dyDescent="0.25">
      <c r="A18" s="1094" t="s">
        <v>843</v>
      </c>
      <c r="B18" s="1093">
        <f>1524072-1520000</f>
        <v>4072</v>
      </c>
      <c r="C18" s="335"/>
      <c r="D18" s="334"/>
    </row>
    <row r="19" spans="1:4" ht="15.75" x14ac:dyDescent="0.25">
      <c r="A19" s="1094" t="s">
        <v>844</v>
      </c>
      <c r="B19" s="1093">
        <v>628001</v>
      </c>
      <c r="C19" s="335"/>
      <c r="D19" s="334"/>
    </row>
    <row r="20" spans="1:4" ht="15.75" x14ac:dyDescent="0.25">
      <c r="A20" s="1094" t="s">
        <v>1033</v>
      </c>
      <c r="B20" s="1203">
        <f>650000-250000-400000</f>
        <v>0</v>
      </c>
      <c r="C20" s="335"/>
      <c r="D20" s="334"/>
    </row>
    <row r="21" spans="1:4" ht="15.75" x14ac:dyDescent="0.25">
      <c r="A21" s="1094" t="s">
        <v>502</v>
      </c>
      <c r="B21" s="1093">
        <v>4000000</v>
      </c>
      <c r="C21" s="335"/>
      <c r="D21" s="334"/>
    </row>
    <row r="22" spans="1:4" ht="15.75" x14ac:dyDescent="0.25">
      <c r="A22" s="1095" t="s">
        <v>705</v>
      </c>
      <c r="B22" s="1203">
        <f>3589610-3589610</f>
        <v>0</v>
      </c>
      <c r="C22" s="335"/>
      <c r="D22" s="334"/>
    </row>
    <row r="23" spans="1:4" ht="15.75" x14ac:dyDescent="0.25">
      <c r="A23" s="1095" t="s">
        <v>704</v>
      </c>
      <c r="B23" s="1093">
        <v>10000000</v>
      </c>
      <c r="C23" s="335"/>
      <c r="D23" s="334"/>
    </row>
    <row r="24" spans="1:4" ht="15.75" x14ac:dyDescent="0.25">
      <c r="A24" s="1095" t="s">
        <v>990</v>
      </c>
      <c r="B24" s="1093">
        <v>519291</v>
      </c>
      <c r="C24" s="335"/>
      <c r="D24" s="334"/>
    </row>
    <row r="25" spans="1:4" ht="15.75" x14ac:dyDescent="0.25">
      <c r="A25" s="1096" t="s">
        <v>841</v>
      </c>
      <c r="B25" s="1093">
        <v>439501</v>
      </c>
      <c r="C25" s="335"/>
      <c r="D25" s="334"/>
    </row>
    <row r="26" spans="1:4" ht="15.75" x14ac:dyDescent="0.25">
      <c r="A26" s="1095" t="s">
        <v>842</v>
      </c>
      <c r="B26" s="1093">
        <f>406461+4715</f>
        <v>411176</v>
      </c>
      <c r="C26" s="335"/>
      <c r="D26" s="334"/>
    </row>
    <row r="27" spans="1:4" ht="16.5" thickBot="1" x14ac:dyDescent="0.3">
      <c r="A27" s="1097" t="s">
        <v>991</v>
      </c>
      <c r="B27" s="1098">
        <v>13674426</v>
      </c>
      <c r="C27" s="335"/>
      <c r="D27" s="334"/>
    </row>
    <row r="28" spans="1:4" ht="16.5" thickBot="1" x14ac:dyDescent="0.3">
      <c r="A28" s="1100" t="s">
        <v>361</v>
      </c>
      <c r="B28" s="1099">
        <f>B11+B12</f>
        <v>105321801</v>
      </c>
    </row>
    <row r="30" spans="1:4" hidden="1" x14ac:dyDescent="0.2">
      <c r="A30" s="1267" t="s">
        <v>1074</v>
      </c>
      <c r="B30" s="392">
        <f>'1. sz.mell. '!C117</f>
        <v>105321801</v>
      </c>
    </row>
    <row r="31" spans="1:4" hidden="1" x14ac:dyDescent="0.2">
      <c r="B31" s="1268">
        <f>B28-B30</f>
        <v>0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M161"/>
  <sheetViews>
    <sheetView zoomScale="130" zoomScaleNormal="130" zoomScaleSheetLayoutView="115" workbookViewId="0">
      <selection activeCell="A2" sqref="A2"/>
    </sheetView>
  </sheetViews>
  <sheetFormatPr defaultRowHeight="15.75" x14ac:dyDescent="0.25"/>
  <cols>
    <col min="1" max="1" width="9" style="167" customWidth="1"/>
    <col min="2" max="2" width="67.1640625" style="167" bestFit="1" customWidth="1"/>
    <col min="3" max="3" width="16.5" style="646" customWidth="1"/>
    <col min="4" max="4" width="15.5" style="646" customWidth="1"/>
    <col min="5" max="7" width="15.5" style="646" hidden="1" customWidth="1"/>
    <col min="8" max="8" width="15.5" style="646" customWidth="1"/>
    <col min="9" max="9" width="14.33203125" style="167" hidden="1" customWidth="1"/>
    <col min="10" max="10" width="12.6640625" style="167" hidden="1" customWidth="1"/>
    <col min="11" max="11" width="14.33203125" style="167" hidden="1" customWidth="1"/>
    <col min="12" max="31" width="0" style="167" hidden="1" customWidth="1"/>
    <col min="32" max="16384" width="9.33203125" style="167"/>
  </cols>
  <sheetData>
    <row r="1" spans="1:13" x14ac:dyDescent="0.25">
      <c r="A1" s="1326" t="str">
        <f>CONCATENATE("27. melléklet"," ",ALAPADATOK!A7," ",ALAPADATOK!B7," ",ALAPADATOK!C7," ",ALAPADATOK!D8," ",ALAPADATOK!E7," ",ALAPADATOK!F7," ",ALAPADATOK!G7," ",ALAPADATOK!H7)</f>
        <v>27. melléklet az 5 / 2023. ( II.24. ) önkormányzati rendelethez</v>
      </c>
      <c r="B1" s="1326"/>
      <c r="C1" s="1326"/>
      <c r="D1" s="1326"/>
      <c r="E1" s="1326"/>
      <c r="F1" s="1326"/>
      <c r="G1" s="1326"/>
      <c r="H1" s="1326"/>
    </row>
    <row r="2" spans="1:13" x14ac:dyDescent="0.25">
      <c r="H2" s="1131" t="s">
        <v>1023</v>
      </c>
    </row>
    <row r="3" spans="1:13" ht="35.25" customHeight="1" x14ac:dyDescent="0.25">
      <c r="A3" s="1415" t="s">
        <v>993</v>
      </c>
      <c r="B3" s="1324"/>
      <c r="C3" s="1324"/>
      <c r="D3" s="1324"/>
      <c r="E3" s="1324"/>
      <c r="F3" s="1324"/>
      <c r="G3" s="1324"/>
      <c r="H3" s="1324"/>
      <c r="M3" s="167" t="s">
        <v>750</v>
      </c>
    </row>
    <row r="5" spans="1:13" ht="15.95" customHeight="1" thickBot="1" x14ac:dyDescent="0.3">
      <c r="A5" s="1328" t="s">
        <v>914</v>
      </c>
      <c r="B5" s="1328"/>
      <c r="C5" s="1328"/>
      <c r="D5" s="1328"/>
      <c r="E5" s="1328"/>
      <c r="F5" s="1328"/>
      <c r="G5" s="1328"/>
      <c r="H5" s="1328"/>
    </row>
    <row r="6" spans="1:13" ht="38.1" customHeight="1" thickBot="1" x14ac:dyDescent="0.3">
      <c r="A6" s="20" t="s">
        <v>63</v>
      </c>
      <c r="B6" s="21" t="s">
        <v>15</v>
      </c>
      <c r="C6" s="813" t="s">
        <v>995</v>
      </c>
      <c r="D6" s="813" t="s">
        <v>994</v>
      </c>
      <c r="E6" s="825"/>
      <c r="F6" s="825"/>
      <c r="G6" s="825"/>
      <c r="H6" s="827" t="s">
        <v>944</v>
      </c>
    </row>
    <row r="7" spans="1:13" s="178" customFormat="1" ht="12" customHeight="1" thickBot="1" x14ac:dyDescent="0.25">
      <c r="A7" s="25" t="s">
        <v>385</v>
      </c>
      <c r="B7" s="277" t="s">
        <v>386</v>
      </c>
      <c r="C7" s="1101" t="s">
        <v>387</v>
      </c>
      <c r="D7" s="1102" t="s">
        <v>437</v>
      </c>
      <c r="E7" s="1103"/>
      <c r="F7" s="1103"/>
      <c r="G7" s="1103"/>
      <c r="H7" s="1104" t="s">
        <v>438</v>
      </c>
    </row>
    <row r="8" spans="1:13" s="179" customFormat="1" ht="12" customHeight="1" thickBot="1" x14ac:dyDescent="0.25">
      <c r="A8" s="17" t="s">
        <v>16</v>
      </c>
      <c r="B8" s="360" t="s">
        <v>179</v>
      </c>
      <c r="C8" s="1105">
        <f>SUM(C9:C16)-C11</f>
        <v>1383953547</v>
      </c>
      <c r="D8" s="849">
        <f>SUM(D9:D16)-D11</f>
        <v>1521550457</v>
      </c>
      <c r="E8" s="498">
        <f>+E9+E10+E11+E14+E15+E16</f>
        <v>1133144785</v>
      </c>
      <c r="F8" s="497">
        <f>+F9+F10+F11+F14+F15+F16</f>
        <v>0</v>
      </c>
      <c r="G8" s="497">
        <f>+G9+G10+G11+G14+G15+G16</f>
        <v>0</v>
      </c>
      <c r="H8" s="110">
        <f>'1. sz.mell. '!C11</f>
        <v>1797356954</v>
      </c>
      <c r="I8" s="257">
        <f>+I9+I10+I11+I14+I15+I16</f>
        <v>1460810310</v>
      </c>
      <c r="J8" s="110">
        <f>+J9+J10+J11+J14+J15+J16</f>
        <v>0</v>
      </c>
      <c r="K8" s="110">
        <f>+K9+K10+K11+K14+K15+K16</f>
        <v>0</v>
      </c>
    </row>
    <row r="9" spans="1:13" s="179" customFormat="1" ht="12" customHeight="1" x14ac:dyDescent="0.2">
      <c r="A9" s="12" t="s">
        <v>85</v>
      </c>
      <c r="B9" s="268" t="s">
        <v>180</v>
      </c>
      <c r="C9" s="859">
        <v>256986904</v>
      </c>
      <c r="D9" s="850">
        <v>296190577</v>
      </c>
      <c r="E9" s="499">
        <v>227512539</v>
      </c>
      <c r="F9" s="500"/>
      <c r="G9" s="500"/>
      <c r="H9" s="381">
        <f>'1. sz.mell. '!C12</f>
        <v>301236891</v>
      </c>
      <c r="I9" s="214">
        <v>211161846</v>
      </c>
      <c r="J9" s="214"/>
      <c r="K9" s="214"/>
    </row>
    <row r="10" spans="1:13" s="179" customFormat="1" ht="12" customHeight="1" x14ac:dyDescent="0.2">
      <c r="A10" s="11" t="s">
        <v>86</v>
      </c>
      <c r="B10" s="269" t="s">
        <v>181</v>
      </c>
      <c r="C10" s="860">
        <v>250568625</v>
      </c>
      <c r="D10" s="851">
        <v>262755080</v>
      </c>
      <c r="E10" s="501">
        <v>218107294</v>
      </c>
      <c r="F10" s="502"/>
      <c r="G10" s="502"/>
      <c r="H10" s="276">
        <f>'1. sz.mell. '!C13</f>
        <v>292268671</v>
      </c>
      <c r="I10" s="114">
        <v>235351616</v>
      </c>
      <c r="J10" s="114"/>
      <c r="K10" s="114"/>
    </row>
    <row r="11" spans="1:13" s="179" customFormat="1" ht="12" customHeight="1" x14ac:dyDescent="0.2">
      <c r="A11" s="11" t="s">
        <v>87</v>
      </c>
      <c r="B11" s="269" t="s">
        <v>182</v>
      </c>
      <c r="C11" s="860">
        <f>SUM(C12:C13)</f>
        <v>793973650</v>
      </c>
      <c r="D11" s="851">
        <f>SUM(D12:D13)</f>
        <v>828956137</v>
      </c>
      <c r="E11" s="501">
        <f>121200000+67844165+118423160+15562200+177597260+4526280+11511000+24250000+62625967</f>
        <v>603540032</v>
      </c>
      <c r="F11" s="502"/>
      <c r="G11" s="502"/>
      <c r="H11" s="276">
        <f>'1. sz.mell. '!C14</f>
        <v>1069330764</v>
      </c>
      <c r="I11" s="114">
        <f>132342947+82528441+152850000+191583306+50232560+61299400+1796961+73694436</f>
        <v>746328051</v>
      </c>
      <c r="J11" s="114"/>
      <c r="K11" s="114"/>
    </row>
    <row r="12" spans="1:13" s="179" customFormat="1" ht="24" customHeight="1" x14ac:dyDescent="0.2">
      <c r="A12" s="11" t="s">
        <v>717</v>
      </c>
      <c r="B12" s="269" t="s">
        <v>720</v>
      </c>
      <c r="C12" s="860">
        <v>616722342</v>
      </c>
      <c r="D12" s="851">
        <v>640407443</v>
      </c>
      <c r="E12" s="501"/>
      <c r="F12" s="502"/>
      <c r="G12" s="502"/>
      <c r="H12" s="276">
        <f>'1. sz.mell. '!C15</f>
        <v>763537895</v>
      </c>
      <c r="I12" s="114"/>
      <c r="J12" s="114"/>
      <c r="K12" s="114"/>
    </row>
    <row r="13" spans="1:13" s="179" customFormat="1" ht="12" customHeight="1" x14ac:dyDescent="0.2">
      <c r="A13" s="11" t="s">
        <v>718</v>
      </c>
      <c r="B13" s="269" t="s">
        <v>721</v>
      </c>
      <c r="C13" s="860">
        <v>177251308</v>
      </c>
      <c r="D13" s="851">
        <v>188548694</v>
      </c>
      <c r="E13" s="501"/>
      <c r="F13" s="502"/>
      <c r="G13" s="502"/>
      <c r="H13" s="276">
        <f>'1. sz.mell. '!C16</f>
        <v>305792869</v>
      </c>
      <c r="I13" s="114"/>
      <c r="J13" s="114"/>
      <c r="K13" s="114"/>
    </row>
    <row r="14" spans="1:13" s="179" customFormat="1" ht="12" customHeight="1" x14ac:dyDescent="0.2">
      <c r="A14" s="11" t="s">
        <v>88</v>
      </c>
      <c r="B14" s="269" t="s">
        <v>183</v>
      </c>
      <c r="C14" s="860">
        <v>38970172</v>
      </c>
      <c r="D14" s="851">
        <v>42308416</v>
      </c>
      <c r="E14" s="501">
        <f>4412740+15262320+10629000</f>
        <v>30304060</v>
      </c>
      <c r="F14" s="502"/>
      <c r="G14" s="502"/>
      <c r="H14" s="276">
        <f>'1. sz.mell. '!C17</f>
        <v>42342119</v>
      </c>
      <c r="I14" s="114">
        <f>4617241+15998620+12622000</f>
        <v>33237861</v>
      </c>
      <c r="J14" s="114"/>
      <c r="K14" s="114"/>
    </row>
    <row r="15" spans="1:13" s="179" customFormat="1" ht="12" customHeight="1" x14ac:dyDescent="0.2">
      <c r="A15" s="11" t="s">
        <v>111</v>
      </c>
      <c r="B15" s="361" t="s">
        <v>388</v>
      </c>
      <c r="C15" s="860">
        <v>43054095</v>
      </c>
      <c r="D15" s="851">
        <v>89874183</v>
      </c>
      <c r="E15" s="501">
        <f>3551000+1060845+168707597+58000+128000-119824582</f>
        <v>53680860</v>
      </c>
      <c r="F15" s="502"/>
      <c r="G15" s="502"/>
      <c r="H15" s="276">
        <f>'1. sz.mell. '!C18</f>
        <v>83810113</v>
      </c>
      <c r="I15" s="114">
        <f>29417493+205313443</f>
        <v>234730936</v>
      </c>
      <c r="J15" s="114"/>
      <c r="K15" s="114"/>
    </row>
    <row r="16" spans="1:13" s="179" customFormat="1" ht="12" customHeight="1" thickBot="1" x14ac:dyDescent="0.25">
      <c r="A16" s="13" t="s">
        <v>89</v>
      </c>
      <c r="B16" s="362" t="s">
        <v>389</v>
      </c>
      <c r="C16" s="861">
        <v>400101</v>
      </c>
      <c r="D16" s="852">
        <v>1466064</v>
      </c>
      <c r="E16" s="503"/>
      <c r="F16" s="504"/>
      <c r="G16" s="504"/>
      <c r="H16" s="382">
        <f>'1. sz.mell. '!C19</f>
        <v>8368396</v>
      </c>
      <c r="I16" s="99"/>
      <c r="J16" s="111"/>
      <c r="K16" s="111"/>
    </row>
    <row r="17" spans="1:11" s="179" customFormat="1" ht="12" customHeight="1" thickBot="1" x14ac:dyDescent="0.25">
      <c r="A17" s="17" t="s">
        <v>17</v>
      </c>
      <c r="B17" s="363" t="s">
        <v>184</v>
      </c>
      <c r="C17" s="727">
        <f>SUM(C18:C22)</f>
        <v>218745160</v>
      </c>
      <c r="D17" s="853">
        <f>SUM(D18:D22)</f>
        <v>349477031</v>
      </c>
      <c r="E17" s="498">
        <f>+E18+E19+E20+E21+E22</f>
        <v>-145452435</v>
      </c>
      <c r="F17" s="497">
        <f>+F18+F19+F20+F21+F22</f>
        <v>0</v>
      </c>
      <c r="G17" s="497">
        <f>+G18+G19+G20+G21+G22</f>
        <v>5485000</v>
      </c>
      <c r="H17" s="110">
        <f>'1. sz.mell. '!C20</f>
        <v>502079781</v>
      </c>
      <c r="I17" s="257">
        <f>+I18+I19+I20+I21+I22</f>
        <v>203725813</v>
      </c>
      <c r="J17" s="110">
        <f>+J18+J19+J20+J21+J22</f>
        <v>0</v>
      </c>
      <c r="K17" s="110">
        <f>+K18+K19+K20+K21+K22</f>
        <v>22754943</v>
      </c>
    </row>
    <row r="18" spans="1:11" s="179" customFormat="1" ht="12" customHeight="1" x14ac:dyDescent="0.2">
      <c r="A18" s="12" t="s">
        <v>91</v>
      </c>
      <c r="B18" s="268" t="s">
        <v>185</v>
      </c>
      <c r="C18" s="859"/>
      <c r="D18" s="850">
        <v>14122</v>
      </c>
      <c r="E18" s="505"/>
      <c r="F18" s="506"/>
      <c r="G18" s="506"/>
      <c r="H18" s="381">
        <f>'1. sz.mell. '!C21</f>
        <v>0</v>
      </c>
      <c r="I18" s="258"/>
      <c r="J18" s="112"/>
      <c r="K18" s="112"/>
    </row>
    <row r="19" spans="1:11" s="179" customFormat="1" ht="12" customHeight="1" x14ac:dyDescent="0.2">
      <c r="A19" s="11" t="s">
        <v>92</v>
      </c>
      <c r="B19" s="269" t="s">
        <v>186</v>
      </c>
      <c r="C19" s="860"/>
      <c r="D19" s="851"/>
      <c r="E19" s="503"/>
      <c r="F19" s="504"/>
      <c r="G19" s="504"/>
      <c r="H19" s="276">
        <f>'1. sz.mell. '!C22</f>
        <v>0</v>
      </c>
      <c r="I19" s="99"/>
      <c r="J19" s="111"/>
      <c r="K19" s="111"/>
    </row>
    <row r="20" spans="1:11" s="179" customFormat="1" ht="12" customHeight="1" x14ac:dyDescent="0.2">
      <c r="A20" s="11" t="s">
        <v>93</v>
      </c>
      <c r="B20" s="269" t="s">
        <v>352</v>
      </c>
      <c r="C20" s="860"/>
      <c r="D20" s="851"/>
      <c r="E20" s="503"/>
      <c r="F20" s="504"/>
      <c r="G20" s="504"/>
      <c r="H20" s="276">
        <f>'1. sz.mell. '!C23</f>
        <v>0</v>
      </c>
      <c r="I20" s="99"/>
      <c r="J20" s="111"/>
      <c r="K20" s="111"/>
    </row>
    <row r="21" spans="1:11" s="179" customFormat="1" ht="12" customHeight="1" x14ac:dyDescent="0.2">
      <c r="A21" s="11" t="s">
        <v>94</v>
      </c>
      <c r="B21" s="269" t="s">
        <v>353</v>
      </c>
      <c r="C21" s="860"/>
      <c r="D21" s="851"/>
      <c r="E21" s="503"/>
      <c r="F21" s="504"/>
      <c r="G21" s="504"/>
      <c r="H21" s="276">
        <f>'1. sz.mell. '!C24</f>
        <v>0</v>
      </c>
      <c r="I21" s="99"/>
      <c r="J21" s="111"/>
      <c r="K21" s="111"/>
    </row>
    <row r="22" spans="1:11" s="179" customFormat="1" ht="12" customHeight="1" x14ac:dyDescent="0.2">
      <c r="A22" s="11" t="s">
        <v>95</v>
      </c>
      <c r="B22" s="269" t="s">
        <v>187</v>
      </c>
      <c r="C22" s="860">
        <v>218745160</v>
      </c>
      <c r="D22" s="851">
        <v>349462909</v>
      </c>
      <c r="E22" s="501">
        <f>2285000+210000+110446000+65342000-323735435</f>
        <v>-145452435</v>
      </c>
      <c r="F22" s="502"/>
      <c r="G22" s="502">
        <v>5485000</v>
      </c>
      <c r="H22" s="276">
        <f>'1. sz.mell. '!C25</f>
        <v>502079781</v>
      </c>
      <c r="I22" s="248">
        <f>102792540+24250000+3975280+5670000+67037993</f>
        <v>203725813</v>
      </c>
      <c r="J22" s="114"/>
      <c r="K22" s="114">
        <v>22754943</v>
      </c>
    </row>
    <row r="23" spans="1:11" s="179" customFormat="1" ht="12" customHeight="1" thickBot="1" x14ac:dyDescent="0.25">
      <c r="A23" s="13" t="s">
        <v>104</v>
      </c>
      <c r="B23" s="362" t="s">
        <v>188</v>
      </c>
      <c r="C23" s="861">
        <v>80120703</v>
      </c>
      <c r="D23" s="852">
        <v>100718749</v>
      </c>
      <c r="E23" s="507"/>
      <c r="F23" s="508"/>
      <c r="G23" s="508"/>
      <c r="H23" s="382">
        <f>'1. sz.mell. '!C26</f>
        <v>132730457</v>
      </c>
      <c r="I23" s="251">
        <f>67037993</f>
        <v>67037993</v>
      </c>
      <c r="J23" s="170"/>
      <c r="K23" s="170">
        <v>754943</v>
      </c>
    </row>
    <row r="24" spans="1:11" s="179" customFormat="1" ht="12" customHeight="1" thickBot="1" x14ac:dyDescent="0.25">
      <c r="A24" s="17" t="s">
        <v>18</v>
      </c>
      <c r="B24" s="360" t="s">
        <v>189</v>
      </c>
      <c r="C24" s="727">
        <f>SUM(C25:C29)</f>
        <v>283396180</v>
      </c>
      <c r="D24" s="853">
        <f>SUM(D25:D29)</f>
        <v>2057307126</v>
      </c>
      <c r="E24" s="498">
        <f>+E25+E26+E27+E28+E29</f>
        <v>-11381976</v>
      </c>
      <c r="F24" s="497">
        <f>+F25+F26+F27+F28+F29</f>
        <v>0</v>
      </c>
      <c r="G24" s="497">
        <f>+G25+G26+G27+G28+G29</f>
        <v>0</v>
      </c>
      <c r="H24" s="110">
        <f>'1. sz.mell. '!C27</f>
        <v>1267865397</v>
      </c>
      <c r="I24" s="257">
        <f>+I25+I26+I27+I28+I29</f>
        <v>82409566</v>
      </c>
      <c r="J24" s="110">
        <f>+J25+J26+J27+J28+J29</f>
        <v>0</v>
      </c>
      <c r="K24" s="110">
        <f>+K25+K26+K27+K28+K29</f>
        <v>0</v>
      </c>
    </row>
    <row r="25" spans="1:11" s="179" customFormat="1" ht="12" customHeight="1" x14ac:dyDescent="0.2">
      <c r="A25" s="12" t="s">
        <v>74</v>
      </c>
      <c r="B25" s="268" t="s">
        <v>190</v>
      </c>
      <c r="C25" s="859">
        <v>34619116</v>
      </c>
      <c r="D25" s="850">
        <v>1315000000</v>
      </c>
      <c r="E25" s="509"/>
      <c r="F25" s="510"/>
      <c r="G25" s="510"/>
      <c r="H25" s="381">
        <f>'1. sz.mell. '!C28</f>
        <v>8384460</v>
      </c>
      <c r="I25" s="677"/>
      <c r="J25" s="468"/>
      <c r="K25" s="468"/>
    </row>
    <row r="26" spans="1:11" s="179" customFormat="1" ht="12" customHeight="1" x14ac:dyDescent="0.2">
      <c r="A26" s="11" t="s">
        <v>75</v>
      </c>
      <c r="B26" s="269" t="s">
        <v>191</v>
      </c>
      <c r="C26" s="862"/>
      <c r="D26" s="854"/>
      <c r="E26" s="501"/>
      <c r="F26" s="502"/>
      <c r="G26" s="502"/>
      <c r="H26" s="384">
        <f>'1. sz.mell. '!C29</f>
        <v>0</v>
      </c>
      <c r="I26" s="248"/>
      <c r="J26" s="114"/>
      <c r="K26" s="114"/>
    </row>
    <row r="27" spans="1:11" s="179" customFormat="1" ht="12" customHeight="1" x14ac:dyDescent="0.2">
      <c r="A27" s="11" t="s">
        <v>76</v>
      </c>
      <c r="B27" s="269" t="s">
        <v>354</v>
      </c>
      <c r="C27" s="860"/>
      <c r="D27" s="851"/>
      <c r="E27" s="501"/>
      <c r="F27" s="502"/>
      <c r="G27" s="502"/>
      <c r="H27" s="276">
        <f>'1. sz.mell. '!C30</f>
        <v>0</v>
      </c>
      <c r="I27" s="248"/>
      <c r="J27" s="114"/>
      <c r="K27" s="114"/>
    </row>
    <row r="28" spans="1:11" s="179" customFormat="1" ht="12" customHeight="1" x14ac:dyDescent="0.2">
      <c r="A28" s="11" t="s">
        <v>77</v>
      </c>
      <c r="B28" s="269" t="s">
        <v>355</v>
      </c>
      <c r="C28" s="860"/>
      <c r="D28" s="851"/>
      <c r="E28" s="501"/>
      <c r="F28" s="502"/>
      <c r="G28" s="502"/>
      <c r="H28" s="276">
        <f>'1. sz.mell. '!C31</f>
        <v>0</v>
      </c>
      <c r="I28" s="248"/>
      <c r="J28" s="114"/>
      <c r="K28" s="114"/>
    </row>
    <row r="29" spans="1:11" s="179" customFormat="1" ht="12" customHeight="1" x14ac:dyDescent="0.2">
      <c r="A29" s="11" t="s">
        <v>122</v>
      </c>
      <c r="B29" s="269" t="s">
        <v>192</v>
      </c>
      <c r="C29" s="860">
        <v>248777064</v>
      </c>
      <c r="D29" s="851">
        <v>742307126</v>
      </c>
      <c r="E29" s="501">
        <f>3797300-15179276</f>
        <v>-11381976</v>
      </c>
      <c r="F29" s="502"/>
      <c r="G29" s="502"/>
      <c r="H29" s="276">
        <f>'1. sz.mell. '!C32</f>
        <v>1259480937</v>
      </c>
      <c r="I29" s="248">
        <f>5596040+25377271+3487179+47949076</f>
        <v>82409566</v>
      </c>
      <c r="J29" s="114"/>
      <c r="K29" s="114"/>
    </row>
    <row r="30" spans="1:11" s="179" customFormat="1" ht="12" customHeight="1" thickBot="1" x14ac:dyDescent="0.25">
      <c r="A30" s="13" t="s">
        <v>123</v>
      </c>
      <c r="B30" s="270" t="s">
        <v>193</v>
      </c>
      <c r="C30" s="861">
        <v>239136377</v>
      </c>
      <c r="D30" s="852">
        <v>71627578</v>
      </c>
      <c r="E30" s="507">
        <v>3797300</v>
      </c>
      <c r="F30" s="508"/>
      <c r="G30" s="508"/>
      <c r="H30" s="382">
        <f>'1. sz.mell. '!C33</f>
        <v>1236223642</v>
      </c>
      <c r="I30" s="251">
        <f>5596040+25377271+3487179+47949076</f>
        <v>82409566</v>
      </c>
      <c r="J30" s="170"/>
      <c r="K30" s="170"/>
    </row>
    <row r="31" spans="1:11" s="179" customFormat="1" ht="12" customHeight="1" thickBot="1" x14ac:dyDescent="0.25">
      <c r="A31" s="17" t="s">
        <v>124</v>
      </c>
      <c r="B31" s="360" t="s">
        <v>194</v>
      </c>
      <c r="C31" s="727">
        <f>C32+C35+C36+C37+C38</f>
        <v>318511494</v>
      </c>
      <c r="D31" s="853">
        <f>D32+D35+D36+D37+D38</f>
        <v>368475820</v>
      </c>
      <c r="E31" s="511">
        <f>+E32+E36+E37+E38</f>
        <v>329390000</v>
      </c>
      <c r="F31" s="512">
        <f>+F32+F36+F37+F38</f>
        <v>0</v>
      </c>
      <c r="G31" s="512">
        <f>+G32+G36+G37+G38</f>
        <v>0</v>
      </c>
      <c r="H31" s="110">
        <f>'1. sz.mell. '!C34</f>
        <v>474994000</v>
      </c>
      <c r="I31" s="259">
        <f>+I32+I36+I37+I38</f>
        <v>481500000</v>
      </c>
      <c r="J31" s="115">
        <f>+J32+J36+J37+J38</f>
        <v>0</v>
      </c>
      <c r="K31" s="115">
        <f>+K32+K36+K37+K38</f>
        <v>0</v>
      </c>
    </row>
    <row r="32" spans="1:11" s="179" customFormat="1" ht="12" customHeight="1" x14ac:dyDescent="0.2">
      <c r="A32" s="12" t="s">
        <v>195</v>
      </c>
      <c r="B32" s="268" t="s">
        <v>562</v>
      </c>
      <c r="C32" s="726">
        <f>SUM(C33:C34)</f>
        <v>306301683</v>
      </c>
      <c r="D32" s="855">
        <f>SUM(D33:D34)</f>
        <v>354087632</v>
      </c>
      <c r="E32" s="513">
        <f>SUM(E33:E35)</f>
        <v>292830000</v>
      </c>
      <c r="F32" s="514"/>
      <c r="G32" s="514"/>
      <c r="H32" s="381">
        <f>'1. sz.mell. '!C35</f>
        <v>459602000</v>
      </c>
      <c r="I32" s="271">
        <f>SUM(I33:I34)</f>
        <v>430000000</v>
      </c>
      <c r="J32" s="271">
        <f>SUM(J33:J34)</f>
        <v>0</v>
      </c>
      <c r="K32" s="271">
        <f>SUM(K33:K34)</f>
        <v>0</v>
      </c>
    </row>
    <row r="33" spans="1:11" s="179" customFormat="1" ht="12" customHeight="1" x14ac:dyDescent="0.2">
      <c r="A33" s="11" t="s">
        <v>196</v>
      </c>
      <c r="B33" s="269" t="s">
        <v>201</v>
      </c>
      <c r="C33" s="860">
        <v>83640757</v>
      </c>
      <c r="D33" s="851">
        <v>91977110</v>
      </c>
      <c r="E33" s="503">
        <f>8990000+70000000</f>
        <v>78990000</v>
      </c>
      <c r="F33" s="504"/>
      <c r="G33" s="504"/>
      <c r="H33" s="276">
        <f>'1. sz.mell. '!C36</f>
        <v>90500000</v>
      </c>
      <c r="I33" s="99">
        <f>80000000+9000000</f>
        <v>89000000</v>
      </c>
      <c r="J33" s="111"/>
      <c r="K33" s="111"/>
    </row>
    <row r="34" spans="1:11" s="179" customFormat="1" ht="12" customHeight="1" x14ac:dyDescent="0.2">
      <c r="A34" s="11" t="s">
        <v>197</v>
      </c>
      <c r="B34" s="523" t="s">
        <v>561</v>
      </c>
      <c r="C34" s="860">
        <v>222660926</v>
      </c>
      <c r="D34" s="851">
        <v>262110522</v>
      </c>
      <c r="E34" s="503">
        <f>203840000+10000000</f>
        <v>213840000</v>
      </c>
      <c r="F34" s="504"/>
      <c r="G34" s="504"/>
      <c r="H34" s="275">
        <f>'1. sz.mell. '!C37</f>
        <v>369102000</v>
      </c>
      <c r="I34" s="99">
        <f>341000000</f>
        <v>341000000</v>
      </c>
      <c r="J34" s="111"/>
      <c r="K34" s="111"/>
    </row>
    <row r="35" spans="1:11" s="179" customFormat="1" ht="12" customHeight="1" x14ac:dyDescent="0.2">
      <c r="A35" s="11" t="s">
        <v>198</v>
      </c>
      <c r="B35" s="269" t="s">
        <v>472</v>
      </c>
      <c r="C35" s="860">
        <v>914</v>
      </c>
      <c r="D35" s="851">
        <v>1</v>
      </c>
      <c r="E35" s="501"/>
      <c r="F35" s="502"/>
      <c r="G35" s="502"/>
      <c r="H35" s="275">
        <f>'1. sz.mell. '!C38</f>
        <v>0</v>
      </c>
      <c r="I35" s="248"/>
      <c r="J35" s="114"/>
      <c r="K35" s="114"/>
    </row>
    <row r="36" spans="1:11" s="179" customFormat="1" ht="12" customHeight="1" x14ac:dyDescent="0.2">
      <c r="A36" s="11" t="s">
        <v>473</v>
      </c>
      <c r="B36" s="269" t="s">
        <v>202</v>
      </c>
      <c r="C36" s="860">
        <v>0</v>
      </c>
      <c r="D36" s="851">
        <v>0</v>
      </c>
      <c r="E36" s="503">
        <f>27000000</f>
        <v>27000000</v>
      </c>
      <c r="F36" s="504"/>
      <c r="G36" s="504"/>
      <c r="H36" s="275">
        <v>0</v>
      </c>
      <c r="I36" s="99">
        <f>35000000</f>
        <v>35000000</v>
      </c>
      <c r="J36" s="111"/>
      <c r="K36" s="111"/>
    </row>
    <row r="37" spans="1:11" s="179" customFormat="1" ht="12" customHeight="1" x14ac:dyDescent="0.2">
      <c r="A37" s="11" t="s">
        <v>200</v>
      </c>
      <c r="B37" s="269" t="s">
        <v>203</v>
      </c>
      <c r="C37" s="860">
        <v>194100</v>
      </c>
      <c r="D37" s="851">
        <v>774900</v>
      </c>
      <c r="E37" s="503">
        <v>4060000</v>
      </c>
      <c r="F37" s="504"/>
      <c r="G37" s="504"/>
      <c r="H37" s="275">
        <f>'1. sz.mell. '!C39</f>
        <v>592000</v>
      </c>
      <c r="I37" s="99"/>
      <c r="J37" s="111"/>
      <c r="K37" s="111"/>
    </row>
    <row r="38" spans="1:11" s="179" customFormat="1" ht="12" customHeight="1" thickBot="1" x14ac:dyDescent="0.25">
      <c r="A38" s="13" t="s">
        <v>474</v>
      </c>
      <c r="B38" s="270" t="s">
        <v>204</v>
      </c>
      <c r="C38" s="861">
        <v>12014797</v>
      </c>
      <c r="D38" s="852">
        <v>13613287</v>
      </c>
      <c r="E38" s="507">
        <v>5500000</v>
      </c>
      <c r="F38" s="508"/>
      <c r="G38" s="508"/>
      <c r="H38" s="382">
        <f>'1. sz.mell. '!C40</f>
        <v>14800000</v>
      </c>
      <c r="I38" s="251">
        <f>6000000+4000000+2500000+500000+3500000</f>
        <v>16500000</v>
      </c>
      <c r="J38" s="170"/>
      <c r="K38" s="170"/>
    </row>
    <row r="39" spans="1:11" s="179" customFormat="1" ht="12" customHeight="1" thickBot="1" x14ac:dyDescent="0.25">
      <c r="A39" s="17" t="s">
        <v>20</v>
      </c>
      <c r="B39" s="360" t="s">
        <v>390</v>
      </c>
      <c r="C39" s="727">
        <f>SUM(C40:C50)</f>
        <v>334062033</v>
      </c>
      <c r="D39" s="853">
        <f>SUM(D40:D50)</f>
        <v>289873617</v>
      </c>
      <c r="E39" s="498">
        <f>SUM(E40:E50)</f>
        <v>54395907</v>
      </c>
      <c r="F39" s="497">
        <f>SUM(F40:F50)</f>
        <v>9416500</v>
      </c>
      <c r="G39" s="497">
        <f>SUM(G40:G50)</f>
        <v>385266178</v>
      </c>
      <c r="H39" s="110">
        <f>'1. sz.mell. '!C41</f>
        <v>362331014</v>
      </c>
      <c r="I39" s="257">
        <f>SUM(I40:I50)</f>
        <v>64295778</v>
      </c>
      <c r="J39" s="110">
        <f>SUM(J40:J50)</f>
        <v>8150828</v>
      </c>
      <c r="K39" s="110">
        <f>SUM(K40:K50)</f>
        <v>266151972</v>
      </c>
    </row>
    <row r="40" spans="1:11" s="179" customFormat="1" ht="12" customHeight="1" x14ac:dyDescent="0.2">
      <c r="A40" s="12" t="s">
        <v>78</v>
      </c>
      <c r="B40" s="268" t="s">
        <v>207</v>
      </c>
      <c r="C40" s="859">
        <v>8209247</v>
      </c>
      <c r="D40" s="850">
        <v>1619390</v>
      </c>
      <c r="E40" s="499">
        <f>3937000+4000000+5000000-2941522</f>
        <v>9995478</v>
      </c>
      <c r="F40" s="500"/>
      <c r="G40" s="500">
        <v>150000</v>
      </c>
      <c r="H40" s="381">
        <f>'1. sz.mell. '!C42</f>
        <v>0</v>
      </c>
      <c r="I40" s="677">
        <f>7385026+10000+10375680</f>
        <v>17770706</v>
      </c>
      <c r="J40" s="214"/>
      <c r="K40" s="214">
        <v>20000</v>
      </c>
    </row>
    <row r="41" spans="1:11" s="179" customFormat="1" ht="12" customHeight="1" x14ac:dyDescent="0.2">
      <c r="A41" s="11" t="s">
        <v>79</v>
      </c>
      <c r="B41" s="269" t="s">
        <v>208</v>
      </c>
      <c r="C41" s="860">
        <v>69205220</v>
      </c>
      <c r="D41" s="851">
        <v>35683418</v>
      </c>
      <c r="E41" s="501">
        <f>100000+12004000+160000+7128864</f>
        <v>19392864</v>
      </c>
      <c r="F41" s="502">
        <v>7533500</v>
      </c>
      <c r="G41" s="500">
        <v>68193838</v>
      </c>
      <c r="H41" s="276">
        <f>'1. sz.mell. '!C43</f>
        <v>50386273</v>
      </c>
      <c r="I41" s="248">
        <f>15901900+787402+500000</f>
        <v>17189302</v>
      </c>
      <c r="J41" s="114">
        <f>4000000+1241400+372638</f>
        <v>5614038</v>
      </c>
      <c r="K41" s="214">
        <f>32107480+8820000+616000+13688512</f>
        <v>55231992</v>
      </c>
    </row>
    <row r="42" spans="1:11" s="179" customFormat="1" ht="12" customHeight="1" x14ac:dyDescent="0.2">
      <c r="A42" s="11" t="s">
        <v>80</v>
      </c>
      <c r="B42" s="269" t="s">
        <v>209</v>
      </c>
      <c r="C42" s="860">
        <v>17680191</v>
      </c>
      <c r="D42" s="851">
        <v>27216666</v>
      </c>
      <c r="E42" s="501">
        <f>8458000+947000</f>
        <v>9405000</v>
      </c>
      <c r="F42" s="502">
        <v>500000</v>
      </c>
      <c r="G42" s="500">
        <v>85718340</v>
      </c>
      <c r="H42" s="276">
        <f>'1. sz.mell. '!C44</f>
        <v>42434427</v>
      </c>
      <c r="I42" s="248">
        <f>20000+6000000+700000+1000000+1109692</f>
        <v>8829692</v>
      </c>
      <c r="J42" s="114">
        <f>300000</f>
        <v>300000</v>
      </c>
      <c r="K42" s="214">
        <f>1586000+50000+4200000+12700000</f>
        <v>18536000</v>
      </c>
    </row>
    <row r="43" spans="1:11" s="179" customFormat="1" ht="12" customHeight="1" x14ac:dyDescent="0.2">
      <c r="A43" s="11" t="s">
        <v>126</v>
      </c>
      <c r="B43" s="269" t="s">
        <v>210</v>
      </c>
      <c r="C43" s="860">
        <v>3774152</v>
      </c>
      <c r="D43" s="851">
        <v>6598332</v>
      </c>
      <c r="E43" s="501">
        <f>430000</f>
        <v>430000</v>
      </c>
      <c r="F43" s="502"/>
      <c r="G43" s="500"/>
      <c r="H43" s="276">
        <f>'1. sz.mell. '!C45</f>
        <v>9500000</v>
      </c>
      <c r="I43" s="248">
        <f>440000+300000</f>
        <v>740000</v>
      </c>
      <c r="J43" s="114"/>
      <c r="K43" s="214"/>
    </row>
    <row r="44" spans="1:11" s="179" customFormat="1" ht="12" customHeight="1" x14ac:dyDescent="0.2">
      <c r="A44" s="11" t="s">
        <v>127</v>
      </c>
      <c r="B44" s="269" t="s">
        <v>211</v>
      </c>
      <c r="C44" s="860">
        <v>176293968</v>
      </c>
      <c r="D44" s="851">
        <v>170792469</v>
      </c>
      <c r="E44" s="501"/>
      <c r="F44" s="502"/>
      <c r="G44" s="500">
        <f>182811402-4572000</f>
        <v>178239402</v>
      </c>
      <c r="H44" s="276">
        <f>'1. sz.mell. '!C46</f>
        <v>195595441</v>
      </c>
      <c r="I44" s="248"/>
      <c r="J44" s="114"/>
      <c r="K44" s="214">
        <f>17535396+708995+862330+152500000</f>
        <v>171606721</v>
      </c>
    </row>
    <row r="45" spans="1:11" s="179" customFormat="1" ht="12" customHeight="1" x14ac:dyDescent="0.2">
      <c r="A45" s="11" t="s">
        <v>128</v>
      </c>
      <c r="B45" s="269" t="s">
        <v>212</v>
      </c>
      <c r="C45" s="860">
        <v>20117811</v>
      </c>
      <c r="D45" s="851">
        <v>15619140</v>
      </c>
      <c r="E45" s="501">
        <f>1063000+3242000+5853000+44000+378000+600000+1350000+1408565</f>
        <v>13938565</v>
      </c>
      <c r="F45" s="502">
        <v>1283000</v>
      </c>
      <c r="G45" s="500">
        <v>31920598</v>
      </c>
      <c r="H45" s="276">
        <f>'1. sz.mell. '!C47</f>
        <v>26334746</v>
      </c>
      <c r="I45" s="248">
        <f>5400+1993957+12052638+212598+189000+2801434+333450+135000</f>
        <v>17723477</v>
      </c>
      <c r="J45" s="114">
        <f>1161000+335178+100612</f>
        <v>1596790</v>
      </c>
      <c r="K45" s="214">
        <f>4914377+191429+869400+1533149+4814904</f>
        <v>12323259</v>
      </c>
    </row>
    <row r="46" spans="1:11" s="179" customFormat="1" ht="12" customHeight="1" x14ac:dyDescent="0.2">
      <c r="A46" s="11" t="s">
        <v>129</v>
      </c>
      <c r="B46" s="269" t="s">
        <v>213</v>
      </c>
      <c r="C46" s="860">
        <v>2550000</v>
      </c>
      <c r="D46" s="851">
        <v>8473000</v>
      </c>
      <c r="E46" s="501"/>
      <c r="F46" s="502"/>
      <c r="G46" s="500">
        <v>21034000</v>
      </c>
      <c r="H46" s="276">
        <f>'1. sz.mell. '!C48</f>
        <v>31678717</v>
      </c>
      <c r="I46" s="248"/>
      <c r="J46" s="114"/>
      <c r="K46" s="214">
        <f>7614000+650000+169000</f>
        <v>8433000</v>
      </c>
    </row>
    <row r="47" spans="1:11" s="179" customFormat="1" ht="12" customHeight="1" x14ac:dyDescent="0.2">
      <c r="A47" s="11" t="s">
        <v>130</v>
      </c>
      <c r="B47" s="269" t="s">
        <v>485</v>
      </c>
      <c r="C47" s="860">
        <v>153</v>
      </c>
      <c r="D47" s="851">
        <v>5910</v>
      </c>
      <c r="E47" s="501">
        <v>30000</v>
      </c>
      <c r="F47" s="502"/>
      <c r="G47" s="500">
        <v>10000</v>
      </c>
      <c r="H47" s="276">
        <f>'1. sz.mell. '!C49</f>
        <v>0</v>
      </c>
      <c r="I47" s="248"/>
      <c r="J47" s="114"/>
      <c r="K47" s="214"/>
    </row>
    <row r="48" spans="1:11" s="179" customFormat="1" ht="12" customHeight="1" x14ac:dyDescent="0.2">
      <c r="A48" s="11" t="s">
        <v>205</v>
      </c>
      <c r="B48" s="269" t="s">
        <v>215</v>
      </c>
      <c r="C48" s="860"/>
      <c r="D48" s="851"/>
      <c r="E48" s="501"/>
      <c r="F48" s="502"/>
      <c r="G48" s="500"/>
      <c r="H48" s="276">
        <f>'1. sz.mell. '!C50</f>
        <v>0</v>
      </c>
      <c r="I48" s="248"/>
      <c r="J48" s="114"/>
      <c r="K48" s="214"/>
    </row>
    <row r="49" spans="1:11" s="179" customFormat="1" ht="12" customHeight="1" x14ac:dyDescent="0.2">
      <c r="A49" s="13" t="s">
        <v>206</v>
      </c>
      <c r="B49" s="270" t="s">
        <v>391</v>
      </c>
      <c r="C49" s="860">
        <v>1278624</v>
      </c>
      <c r="D49" s="851">
        <v>17361516</v>
      </c>
      <c r="E49" s="507">
        <f>500000</f>
        <v>500000</v>
      </c>
      <c r="F49" s="508"/>
      <c r="G49" s="500"/>
      <c r="H49" s="276">
        <f>'1. sz.mell. '!C51</f>
        <v>1622680</v>
      </c>
      <c r="I49" s="251">
        <f>500000</f>
        <v>500000</v>
      </c>
      <c r="J49" s="170"/>
      <c r="K49" s="214"/>
    </row>
    <row r="50" spans="1:11" s="179" customFormat="1" ht="12" customHeight="1" thickBot="1" x14ac:dyDescent="0.25">
      <c r="A50" s="13" t="s">
        <v>392</v>
      </c>
      <c r="B50" s="362" t="s">
        <v>216</v>
      </c>
      <c r="C50" s="861">
        <v>34952667</v>
      </c>
      <c r="D50" s="852">
        <v>6503776</v>
      </c>
      <c r="E50" s="507">
        <f>704000</f>
        <v>704000</v>
      </c>
      <c r="F50" s="508">
        <v>100000</v>
      </c>
      <c r="G50" s="500"/>
      <c r="H50" s="382">
        <f>'1. sz.mell. '!C52</f>
        <v>4778730</v>
      </c>
      <c r="I50" s="251">
        <f>507601+335000+700000</f>
        <v>1542601</v>
      </c>
      <c r="J50" s="170">
        <f>640000</f>
        <v>640000</v>
      </c>
      <c r="K50" s="214">
        <v>1000</v>
      </c>
    </row>
    <row r="51" spans="1:11" s="179" customFormat="1" ht="12" customHeight="1" thickBot="1" x14ac:dyDescent="0.25">
      <c r="A51" s="17" t="s">
        <v>21</v>
      </c>
      <c r="B51" s="360" t="s">
        <v>217</v>
      </c>
      <c r="C51" s="727">
        <f>SUM(C52:C56)</f>
        <v>8433198</v>
      </c>
      <c r="D51" s="853">
        <f>SUM(D52:D56)</f>
        <v>24015126</v>
      </c>
      <c r="E51" s="498">
        <f>SUM(E52:E56)</f>
        <v>25179000</v>
      </c>
      <c r="F51" s="497">
        <f>SUM(F52:F56)</f>
        <v>0</v>
      </c>
      <c r="G51" s="497">
        <f>SUM(G52:G56)</f>
        <v>0</v>
      </c>
      <c r="H51" s="110">
        <f>'1. sz.mell. '!C53</f>
        <v>48000000</v>
      </c>
      <c r="I51" s="257">
        <f>SUM(I52:I56)</f>
        <v>21787500</v>
      </c>
      <c r="J51" s="110">
        <f>SUM(J52:J56)</f>
        <v>300000</v>
      </c>
      <c r="K51" s="110">
        <f>SUM(K52:K56)</f>
        <v>0</v>
      </c>
    </row>
    <row r="52" spans="1:11" s="179" customFormat="1" ht="12" customHeight="1" x14ac:dyDescent="0.2">
      <c r="A52" s="12" t="s">
        <v>81</v>
      </c>
      <c r="B52" s="268" t="s">
        <v>221</v>
      </c>
      <c r="C52" s="863"/>
      <c r="D52" s="856"/>
      <c r="E52" s="499"/>
      <c r="F52" s="500"/>
      <c r="G52" s="500"/>
      <c r="H52" s="383">
        <f>'1. sz.mell. '!C54</f>
        <v>0</v>
      </c>
      <c r="I52" s="677"/>
      <c r="J52" s="214"/>
      <c r="K52" s="214"/>
    </row>
    <row r="53" spans="1:11" s="179" customFormat="1" ht="12" customHeight="1" x14ac:dyDescent="0.2">
      <c r="A53" s="11" t="s">
        <v>82</v>
      </c>
      <c r="B53" s="269" t="s">
        <v>222</v>
      </c>
      <c r="C53" s="860">
        <v>8058657</v>
      </c>
      <c r="D53" s="851">
        <v>23960843</v>
      </c>
      <c r="E53" s="501">
        <f>25179000</f>
        <v>25179000</v>
      </c>
      <c r="F53" s="502"/>
      <c r="G53" s="502"/>
      <c r="H53" s="276">
        <f>'1. sz.mell. '!C55</f>
        <v>48000000</v>
      </c>
      <c r="I53" s="248">
        <f>21787500</f>
        <v>21787500</v>
      </c>
      <c r="J53" s="114"/>
      <c r="K53" s="114"/>
    </row>
    <row r="54" spans="1:11" s="179" customFormat="1" ht="12" customHeight="1" x14ac:dyDescent="0.2">
      <c r="A54" s="11" t="s">
        <v>218</v>
      </c>
      <c r="B54" s="269" t="s">
        <v>223</v>
      </c>
      <c r="C54" s="860">
        <v>44541</v>
      </c>
      <c r="D54" s="851">
        <v>54283</v>
      </c>
      <c r="E54" s="501"/>
      <c r="F54" s="502"/>
      <c r="G54" s="502"/>
      <c r="H54" s="276">
        <f>'1. sz.mell. '!C56</f>
        <v>0</v>
      </c>
      <c r="I54" s="248"/>
      <c r="J54" s="114">
        <f>300000</f>
        <v>300000</v>
      </c>
      <c r="K54" s="114"/>
    </row>
    <row r="55" spans="1:11" s="179" customFormat="1" ht="12" customHeight="1" x14ac:dyDescent="0.2">
      <c r="A55" s="11" t="s">
        <v>219</v>
      </c>
      <c r="B55" s="269" t="s">
        <v>224</v>
      </c>
      <c r="C55" s="860"/>
      <c r="D55" s="851"/>
      <c r="E55" s="501"/>
      <c r="F55" s="502"/>
      <c r="G55" s="502"/>
      <c r="H55" s="276">
        <f>'1. sz.mell. '!C57</f>
        <v>0</v>
      </c>
      <c r="I55" s="248"/>
      <c r="J55" s="114"/>
      <c r="K55" s="114"/>
    </row>
    <row r="56" spans="1:11" s="179" customFormat="1" ht="12" customHeight="1" thickBot="1" x14ac:dyDescent="0.25">
      <c r="A56" s="13" t="s">
        <v>220</v>
      </c>
      <c r="B56" s="362" t="s">
        <v>225</v>
      </c>
      <c r="C56" s="861">
        <v>330000</v>
      </c>
      <c r="D56" s="852">
        <v>0</v>
      </c>
      <c r="E56" s="507"/>
      <c r="F56" s="508"/>
      <c r="G56" s="508"/>
      <c r="H56" s="385">
        <f>'1. sz.mell. '!C58</f>
        <v>0</v>
      </c>
      <c r="I56" s="251"/>
      <c r="J56" s="170"/>
      <c r="K56" s="170"/>
    </row>
    <row r="57" spans="1:11" s="179" customFormat="1" ht="12" customHeight="1" thickBot="1" x14ac:dyDescent="0.25">
      <c r="A57" s="17" t="s">
        <v>131</v>
      </c>
      <c r="B57" s="360" t="s">
        <v>226</v>
      </c>
      <c r="C57" s="727">
        <f>SUM(C58:C60)</f>
        <v>2494416</v>
      </c>
      <c r="D57" s="853">
        <f>SUM(D58:D60)</f>
        <v>14672429</v>
      </c>
      <c r="E57" s="498">
        <f>SUM(E58:E60)</f>
        <v>6164433</v>
      </c>
      <c r="F57" s="497">
        <f>SUM(F58:F60)</f>
        <v>0</v>
      </c>
      <c r="G57" s="497">
        <f>SUM(G58:G60)</f>
        <v>0</v>
      </c>
      <c r="H57" s="267">
        <f>'1. sz.mell. '!C59</f>
        <v>3950083</v>
      </c>
      <c r="I57" s="257">
        <f>SUM(I58:I60)</f>
        <v>1430000</v>
      </c>
      <c r="J57" s="110">
        <f>SUM(J58:J60)</f>
        <v>0</v>
      </c>
      <c r="K57" s="110">
        <f>SUM(K58:K60)</f>
        <v>0</v>
      </c>
    </row>
    <row r="58" spans="1:11" s="179" customFormat="1" ht="12" customHeight="1" x14ac:dyDescent="0.2">
      <c r="A58" s="12" t="s">
        <v>83</v>
      </c>
      <c r="B58" s="268" t="s">
        <v>227</v>
      </c>
      <c r="C58" s="864"/>
      <c r="D58" s="1107">
        <v>323648</v>
      </c>
      <c r="E58" s="505"/>
      <c r="F58" s="506"/>
      <c r="G58" s="506"/>
      <c r="H58" s="386">
        <f>'1. sz.mell. '!C60</f>
        <v>1000000</v>
      </c>
      <c r="I58" s="258"/>
      <c r="J58" s="112"/>
      <c r="K58" s="112"/>
    </row>
    <row r="59" spans="1:11" s="179" customFormat="1" ht="12" customHeight="1" x14ac:dyDescent="0.2">
      <c r="A59" s="11" t="s">
        <v>84</v>
      </c>
      <c r="B59" s="269" t="s">
        <v>356</v>
      </c>
      <c r="C59" s="860">
        <v>540368</v>
      </c>
      <c r="D59" s="851">
        <v>431905</v>
      </c>
      <c r="E59" s="501">
        <f>383000+1566000</f>
        <v>1949000</v>
      </c>
      <c r="F59" s="502"/>
      <c r="G59" s="502"/>
      <c r="H59" s="276">
        <f>'1. sz.mell. '!C61</f>
        <v>200000</v>
      </c>
      <c r="I59" s="248">
        <f>480000</f>
        <v>480000</v>
      </c>
      <c r="J59" s="114"/>
      <c r="K59" s="114"/>
    </row>
    <row r="60" spans="1:11" s="179" customFormat="1" ht="12" customHeight="1" x14ac:dyDescent="0.2">
      <c r="A60" s="11" t="s">
        <v>230</v>
      </c>
      <c r="B60" s="269" t="s">
        <v>228</v>
      </c>
      <c r="C60" s="860">
        <v>1954048</v>
      </c>
      <c r="D60" s="851">
        <v>13916876</v>
      </c>
      <c r="E60" s="501">
        <f>4075000+140433</f>
        <v>4215433</v>
      </c>
      <c r="F60" s="502"/>
      <c r="G60" s="502"/>
      <c r="H60" s="276">
        <f>'1. sz.mell. '!C62</f>
        <v>2750083</v>
      </c>
      <c r="I60" s="248">
        <f>950000</f>
        <v>950000</v>
      </c>
      <c r="J60" s="114"/>
      <c r="K60" s="114"/>
    </row>
    <row r="61" spans="1:11" s="179" customFormat="1" ht="12" customHeight="1" thickBot="1" x14ac:dyDescent="0.25">
      <c r="A61" s="13" t="s">
        <v>231</v>
      </c>
      <c r="B61" s="362" t="s">
        <v>229</v>
      </c>
      <c r="C61" s="861"/>
      <c r="D61" s="852"/>
      <c r="E61" s="516"/>
      <c r="F61" s="517"/>
      <c r="G61" s="517"/>
      <c r="H61" s="382">
        <f>'1. sz.mell. '!C63</f>
        <v>0</v>
      </c>
      <c r="I61" s="100"/>
      <c r="J61" s="113"/>
      <c r="K61" s="113"/>
    </row>
    <row r="62" spans="1:11" s="179" customFormat="1" ht="12" customHeight="1" thickBot="1" x14ac:dyDescent="0.25">
      <c r="A62" s="17" t="s">
        <v>23</v>
      </c>
      <c r="B62" s="363" t="s">
        <v>232</v>
      </c>
      <c r="C62" s="727">
        <f>SUM(C63:C65)</f>
        <v>11510400</v>
      </c>
      <c r="D62" s="853">
        <f>SUM(D63:D65)</f>
        <v>250000</v>
      </c>
      <c r="E62" s="498">
        <f>SUM(E63:E65)</f>
        <v>0</v>
      </c>
      <c r="F62" s="497">
        <f>SUM(F63:F65)</f>
        <v>0</v>
      </c>
      <c r="G62" s="497">
        <f>SUM(G63:G65)</f>
        <v>0</v>
      </c>
      <c r="H62" s="110">
        <f>'1. sz.mell. '!C64</f>
        <v>12220788</v>
      </c>
      <c r="I62" s="257">
        <f>SUM(I63:I65)</f>
        <v>0</v>
      </c>
      <c r="J62" s="110">
        <f>SUM(J63:J65)</f>
        <v>0</v>
      </c>
      <c r="K62" s="110">
        <f>SUM(K63:K65)</f>
        <v>0</v>
      </c>
    </row>
    <row r="63" spans="1:11" s="179" customFormat="1" ht="12" customHeight="1" x14ac:dyDescent="0.2">
      <c r="A63" s="12" t="s">
        <v>132</v>
      </c>
      <c r="B63" s="268" t="s">
        <v>234</v>
      </c>
      <c r="C63" s="863"/>
      <c r="D63" s="856"/>
      <c r="E63" s="501"/>
      <c r="F63" s="502"/>
      <c r="G63" s="502"/>
      <c r="H63" s="383">
        <f>'1. sz.mell. '!C65</f>
        <v>0</v>
      </c>
      <c r="I63" s="248"/>
      <c r="J63" s="114"/>
      <c r="K63" s="114"/>
    </row>
    <row r="64" spans="1:11" s="179" customFormat="1" ht="12" customHeight="1" x14ac:dyDescent="0.2">
      <c r="A64" s="11" t="s">
        <v>133</v>
      </c>
      <c r="B64" s="269" t="s">
        <v>357</v>
      </c>
      <c r="C64" s="862"/>
      <c r="D64" s="854"/>
      <c r="E64" s="501"/>
      <c r="F64" s="502"/>
      <c r="G64" s="502"/>
      <c r="H64" s="384">
        <f>'1. sz.mell. '!C66</f>
        <v>0</v>
      </c>
      <c r="I64" s="248"/>
      <c r="J64" s="114"/>
      <c r="K64" s="114"/>
    </row>
    <row r="65" spans="1:11" s="179" customFormat="1" ht="12" customHeight="1" x14ac:dyDescent="0.2">
      <c r="A65" s="11" t="s">
        <v>158</v>
      </c>
      <c r="B65" s="269" t="s">
        <v>235</v>
      </c>
      <c r="C65" s="860">
        <v>11510400</v>
      </c>
      <c r="D65" s="851">
        <v>250000</v>
      </c>
      <c r="E65" s="501"/>
      <c r="F65" s="502"/>
      <c r="G65" s="502"/>
      <c r="H65" s="384">
        <f>'1. sz.mell. '!C67</f>
        <v>12220788</v>
      </c>
      <c r="I65" s="248"/>
      <c r="J65" s="114"/>
      <c r="K65" s="114"/>
    </row>
    <row r="66" spans="1:11" s="179" customFormat="1" ht="12" customHeight="1" thickBot="1" x14ac:dyDescent="0.25">
      <c r="A66" s="13" t="s">
        <v>233</v>
      </c>
      <c r="B66" s="362" t="s">
        <v>236</v>
      </c>
      <c r="C66" s="861">
        <v>5060400</v>
      </c>
      <c r="D66" s="852">
        <v>0</v>
      </c>
      <c r="E66" s="501"/>
      <c r="F66" s="502"/>
      <c r="G66" s="502"/>
      <c r="H66" s="385">
        <f>'1. sz.mell. '!C68</f>
        <v>0</v>
      </c>
      <c r="I66" s="248"/>
      <c r="J66" s="114"/>
      <c r="K66" s="114"/>
    </row>
    <row r="67" spans="1:11" s="179" customFormat="1" ht="12" customHeight="1" thickBot="1" x14ac:dyDescent="0.25">
      <c r="A67" s="235" t="s">
        <v>393</v>
      </c>
      <c r="B67" s="360" t="s">
        <v>237</v>
      </c>
      <c r="C67" s="515">
        <f>C8+C17+C24+C31+C39+C51+C57+C62</f>
        <v>2561106428</v>
      </c>
      <c r="D67" s="498">
        <f>D8+D17+D24+D31+D39+D51+D57+D62</f>
        <v>4625621606</v>
      </c>
      <c r="E67" s="511">
        <f>+E8+E17+E24+E31+E39+E51+E57+E62</f>
        <v>1391439714</v>
      </c>
      <c r="F67" s="512">
        <f>+F8+F17+F24+F31+F39+F51+F57+F62</f>
        <v>9416500</v>
      </c>
      <c r="G67" s="512">
        <f>+G8+G17+G24+G31+G39+G51+G57+G62</f>
        <v>390751178</v>
      </c>
      <c r="H67" s="110">
        <f>'1. sz.mell. '!C69</f>
        <v>4468798017</v>
      </c>
      <c r="I67" s="259">
        <f>+I8+I17+I24+I31+I39+I51+I57+I62</f>
        <v>2315958967</v>
      </c>
      <c r="J67" s="115">
        <f>+J8+J17+J24+J31+J39+J51+J57+J62</f>
        <v>8450828</v>
      </c>
      <c r="K67" s="115">
        <f>+K8+K17+K24+K31+K39+K51+K57+K62</f>
        <v>288906915</v>
      </c>
    </row>
    <row r="68" spans="1:11" s="179" customFormat="1" ht="12" customHeight="1" thickBot="1" x14ac:dyDescent="0.25">
      <c r="A68" s="236" t="s">
        <v>238</v>
      </c>
      <c r="B68" s="363" t="s">
        <v>486</v>
      </c>
      <c r="C68" s="515">
        <f>SUM(C69:C71)</f>
        <v>842474481</v>
      </c>
      <c r="D68" s="498">
        <f>SUM(D69:D71)</f>
        <v>1015000568</v>
      </c>
      <c r="E68" s="498">
        <f>SUM(E69:E71)</f>
        <v>144100000</v>
      </c>
      <c r="F68" s="497">
        <f>SUM(F69:F71)</f>
        <v>0</v>
      </c>
      <c r="G68" s="497">
        <f>SUM(G69:G71)</f>
        <v>0</v>
      </c>
      <c r="H68" s="110">
        <f>'1. sz.mell. '!C70</f>
        <v>1217733250</v>
      </c>
      <c r="I68" s="257">
        <f>SUM(I69:I71)</f>
        <v>169269106</v>
      </c>
      <c r="J68" s="110">
        <f>SUM(J69:J71)</f>
        <v>0</v>
      </c>
      <c r="K68" s="110">
        <f>SUM(K69:K71)</f>
        <v>0</v>
      </c>
    </row>
    <row r="69" spans="1:11" s="179" customFormat="1" ht="12" customHeight="1" x14ac:dyDescent="0.2">
      <c r="A69" s="12" t="s">
        <v>270</v>
      </c>
      <c r="B69" s="268" t="s">
        <v>240</v>
      </c>
      <c r="C69" s="859">
        <v>21319241</v>
      </c>
      <c r="D69" s="850">
        <v>11502781</v>
      </c>
      <c r="E69" s="501">
        <v>44100000</v>
      </c>
      <c r="F69" s="502"/>
      <c r="G69" s="502"/>
      <c r="H69" s="381">
        <f>'1. sz.mell. '!C71</f>
        <v>167733250</v>
      </c>
      <c r="I69" s="248">
        <f>69269106</f>
        <v>69269106</v>
      </c>
      <c r="J69" s="114"/>
      <c r="K69" s="114"/>
    </row>
    <row r="70" spans="1:11" s="179" customFormat="1" ht="12" customHeight="1" x14ac:dyDescent="0.2">
      <c r="A70" s="11" t="s">
        <v>279</v>
      </c>
      <c r="B70" s="269" t="s">
        <v>241</v>
      </c>
      <c r="C70" s="860">
        <v>821155240</v>
      </c>
      <c r="D70" s="851">
        <v>1003497787</v>
      </c>
      <c r="E70" s="501">
        <v>100000000</v>
      </c>
      <c r="F70" s="502"/>
      <c r="G70" s="502"/>
      <c r="H70" s="276">
        <f>'1. sz.mell. '!C72</f>
        <v>1050000000</v>
      </c>
      <c r="I70" s="248">
        <v>100000000</v>
      </c>
      <c r="J70" s="114"/>
      <c r="K70" s="114"/>
    </row>
    <row r="71" spans="1:11" s="179" customFormat="1" ht="12" customHeight="1" thickBot="1" x14ac:dyDescent="0.25">
      <c r="A71" s="13" t="s">
        <v>280</v>
      </c>
      <c r="B71" s="364" t="s">
        <v>394</v>
      </c>
      <c r="C71" s="865"/>
      <c r="D71" s="857"/>
      <c r="E71" s="501"/>
      <c r="F71" s="502"/>
      <c r="G71" s="502"/>
      <c r="H71" s="385">
        <f>'1. sz.mell. '!C73</f>
        <v>0</v>
      </c>
      <c r="I71" s="248"/>
      <c r="J71" s="114"/>
      <c r="K71" s="114"/>
    </row>
    <row r="72" spans="1:11" s="179" customFormat="1" ht="12" customHeight="1" thickBot="1" x14ac:dyDescent="0.25">
      <c r="A72" s="236" t="s">
        <v>243</v>
      </c>
      <c r="B72" s="363" t="s">
        <v>244</v>
      </c>
      <c r="C72" s="522">
        <f>SUM(C73:C76)</f>
        <v>0</v>
      </c>
      <c r="D72" s="858">
        <f>SUM(D73:D76)</f>
        <v>0</v>
      </c>
      <c r="E72" s="498">
        <f>SUM(E73:E76)</f>
        <v>0</v>
      </c>
      <c r="F72" s="497">
        <f>SUM(F73:F76)</f>
        <v>0</v>
      </c>
      <c r="G72" s="497">
        <f>SUM(G73:G76)</f>
        <v>0</v>
      </c>
      <c r="H72" s="110">
        <f>'1. sz.mell. '!C74</f>
        <v>0</v>
      </c>
      <c r="I72" s="257">
        <f>SUM(I73:I76)</f>
        <v>0</v>
      </c>
      <c r="J72" s="110">
        <f>SUM(J73:J76)</f>
        <v>0</v>
      </c>
      <c r="K72" s="110">
        <f>SUM(K73:K76)</f>
        <v>0</v>
      </c>
    </row>
    <row r="73" spans="1:11" s="179" customFormat="1" ht="12" customHeight="1" x14ac:dyDescent="0.2">
      <c r="A73" s="12" t="s">
        <v>112</v>
      </c>
      <c r="B73" s="268" t="s">
        <v>245</v>
      </c>
      <c r="C73" s="863"/>
      <c r="D73" s="856"/>
      <c r="E73" s="501"/>
      <c r="F73" s="502"/>
      <c r="G73" s="502"/>
      <c r="H73" s="383">
        <f>'1. sz.mell. '!C75</f>
        <v>0</v>
      </c>
      <c r="I73" s="248"/>
      <c r="J73" s="114"/>
      <c r="K73" s="114"/>
    </row>
    <row r="74" spans="1:11" s="179" customFormat="1" ht="17.25" customHeight="1" x14ac:dyDescent="0.2">
      <c r="A74" s="11" t="s">
        <v>113</v>
      </c>
      <c r="B74" s="269" t="s">
        <v>246</v>
      </c>
      <c r="C74" s="862"/>
      <c r="D74" s="854"/>
      <c r="E74" s="501"/>
      <c r="F74" s="502"/>
      <c r="G74" s="502"/>
      <c r="H74" s="384">
        <f>'1. sz.mell. '!C76</f>
        <v>0</v>
      </c>
      <c r="I74" s="248"/>
      <c r="J74" s="114"/>
      <c r="K74" s="114"/>
    </row>
    <row r="75" spans="1:11" s="179" customFormat="1" ht="12" customHeight="1" x14ac:dyDescent="0.2">
      <c r="A75" s="11" t="s">
        <v>271</v>
      </c>
      <c r="B75" s="269" t="s">
        <v>247</v>
      </c>
      <c r="C75" s="862"/>
      <c r="D75" s="854"/>
      <c r="E75" s="501"/>
      <c r="F75" s="502"/>
      <c r="G75" s="502"/>
      <c r="H75" s="384">
        <f>'1. sz.mell. '!C77</f>
        <v>0</v>
      </c>
      <c r="I75" s="248"/>
      <c r="J75" s="114"/>
      <c r="K75" s="114"/>
    </row>
    <row r="76" spans="1:11" s="179" customFormat="1" ht="12" customHeight="1" thickBot="1" x14ac:dyDescent="0.25">
      <c r="A76" s="13" t="s">
        <v>272</v>
      </c>
      <c r="B76" s="362" t="s">
        <v>248</v>
      </c>
      <c r="C76" s="865"/>
      <c r="D76" s="857"/>
      <c r="E76" s="501"/>
      <c r="F76" s="502"/>
      <c r="G76" s="502"/>
      <c r="H76" s="385">
        <f>'1. sz.mell. '!C78</f>
        <v>0</v>
      </c>
      <c r="I76" s="248"/>
      <c r="J76" s="114"/>
      <c r="K76" s="114"/>
    </row>
    <row r="77" spans="1:11" s="179" customFormat="1" ht="12" customHeight="1" thickBot="1" x14ac:dyDescent="0.25">
      <c r="A77" s="236" t="s">
        <v>249</v>
      </c>
      <c r="B77" s="363" t="s">
        <v>250</v>
      </c>
      <c r="C77" s="515">
        <f>SUM(C78:C79)</f>
        <v>933051850</v>
      </c>
      <c r="D77" s="498">
        <f>SUM(D78:D79)</f>
        <v>855568870</v>
      </c>
      <c r="E77" s="498">
        <f>SUM(E78:E79)</f>
        <v>289331423</v>
      </c>
      <c r="F77" s="497">
        <f>SUM(F78:F79)</f>
        <v>447404</v>
      </c>
      <c r="G77" s="497">
        <f>SUM(G78:G79)</f>
        <v>3220588</v>
      </c>
      <c r="H77" s="110">
        <f>'1. sz.mell. '!C79</f>
        <v>2438161695</v>
      </c>
      <c r="I77" s="257">
        <f>SUM(I78:I79)</f>
        <v>346583469</v>
      </c>
      <c r="J77" s="110">
        <f>SUM(J78:J79)</f>
        <v>829764</v>
      </c>
      <c r="K77" s="110">
        <f>SUM(K78:K79)</f>
        <v>17254367</v>
      </c>
    </row>
    <row r="78" spans="1:11" s="179" customFormat="1" ht="12" customHeight="1" x14ac:dyDescent="0.2">
      <c r="A78" s="12" t="s">
        <v>273</v>
      </c>
      <c r="B78" s="268" t="s">
        <v>251</v>
      </c>
      <c r="C78" s="859">
        <v>933051850</v>
      </c>
      <c r="D78" s="850">
        <v>855568870</v>
      </c>
      <c r="E78" s="501">
        <v>289331423</v>
      </c>
      <c r="F78" s="502">
        <v>447404</v>
      </c>
      <c r="G78" s="502">
        <v>3220588</v>
      </c>
      <c r="H78" s="381">
        <f>'1. sz.mell. '!C80</f>
        <v>2438161695</v>
      </c>
      <c r="I78" s="248">
        <f>346583469</f>
        <v>346583469</v>
      </c>
      <c r="J78" s="114">
        <f>829764</f>
        <v>829764</v>
      </c>
      <c r="K78" s="114">
        <f>1550858+372804+435258+1054835+13840612</f>
        <v>17254367</v>
      </c>
    </row>
    <row r="79" spans="1:11" s="179" customFormat="1" ht="12" customHeight="1" thickBot="1" x14ac:dyDescent="0.25">
      <c r="A79" s="13" t="s">
        <v>274</v>
      </c>
      <c r="B79" s="362" t="s">
        <v>252</v>
      </c>
      <c r="C79" s="865"/>
      <c r="D79" s="857"/>
      <c r="E79" s="501"/>
      <c r="F79" s="502"/>
      <c r="G79" s="502"/>
      <c r="H79" s="385">
        <f>'1. sz.mell. '!C81</f>
        <v>0</v>
      </c>
      <c r="I79" s="248"/>
      <c r="J79" s="114"/>
      <c r="K79" s="114"/>
    </row>
    <row r="80" spans="1:11" s="179" customFormat="1" ht="12" customHeight="1" thickBot="1" x14ac:dyDescent="0.25">
      <c r="A80" s="236" t="s">
        <v>253</v>
      </c>
      <c r="B80" s="363" t="s">
        <v>254</v>
      </c>
      <c r="C80" s="518">
        <f>SUM(C81:C83)</f>
        <v>48966750</v>
      </c>
      <c r="D80" s="511">
        <f>SUM(D81:D83)</f>
        <v>55076107</v>
      </c>
      <c r="E80" s="498">
        <f>SUM(E81:E83)</f>
        <v>0</v>
      </c>
      <c r="F80" s="497">
        <f>SUM(F81:F83)</f>
        <v>0</v>
      </c>
      <c r="G80" s="497">
        <f>SUM(G81:G83)</f>
        <v>0</v>
      </c>
      <c r="H80" s="110">
        <f>'1. sz.mell. '!C82</f>
        <v>61842606</v>
      </c>
      <c r="I80" s="257">
        <f>SUM(I81:I83)</f>
        <v>0</v>
      </c>
      <c r="J80" s="110">
        <f>SUM(J81:J83)</f>
        <v>0</v>
      </c>
      <c r="K80" s="110">
        <f>SUM(K81:K83)</f>
        <v>0</v>
      </c>
    </row>
    <row r="81" spans="1:11" s="179" customFormat="1" ht="12" customHeight="1" x14ac:dyDescent="0.2">
      <c r="A81" s="12" t="s">
        <v>275</v>
      </c>
      <c r="B81" s="268" t="s">
        <v>255</v>
      </c>
      <c r="C81" s="859">
        <v>48966750</v>
      </c>
      <c r="D81" s="850">
        <v>55076107</v>
      </c>
      <c r="E81" s="501"/>
      <c r="F81" s="502"/>
      <c r="G81" s="502"/>
      <c r="H81" s="383">
        <f>'1. sz.mell. '!C83</f>
        <v>61842606</v>
      </c>
      <c r="I81" s="248"/>
      <c r="J81" s="114"/>
      <c r="K81" s="114"/>
    </row>
    <row r="82" spans="1:11" s="179" customFormat="1" ht="12" customHeight="1" x14ac:dyDescent="0.2">
      <c r="A82" s="11" t="s">
        <v>276</v>
      </c>
      <c r="B82" s="269" t="s">
        <v>256</v>
      </c>
      <c r="C82" s="862"/>
      <c r="D82" s="854"/>
      <c r="E82" s="501"/>
      <c r="F82" s="502"/>
      <c r="G82" s="502"/>
      <c r="H82" s="384">
        <f>'1. sz.mell. '!C84</f>
        <v>0</v>
      </c>
      <c r="I82" s="248"/>
      <c r="J82" s="114"/>
      <c r="K82" s="114"/>
    </row>
    <row r="83" spans="1:11" s="179" customFormat="1" ht="12" customHeight="1" thickBot="1" x14ac:dyDescent="0.25">
      <c r="A83" s="13" t="s">
        <v>277</v>
      </c>
      <c r="B83" s="362" t="s">
        <v>257</v>
      </c>
      <c r="C83" s="865"/>
      <c r="D83" s="857"/>
      <c r="E83" s="501"/>
      <c r="F83" s="502"/>
      <c r="G83" s="502"/>
      <c r="H83" s="385">
        <f>'1. sz.mell. '!C85</f>
        <v>0</v>
      </c>
      <c r="I83" s="248"/>
      <c r="J83" s="114"/>
      <c r="K83" s="114"/>
    </row>
    <row r="84" spans="1:11" s="179" customFormat="1" ht="12" customHeight="1" thickBot="1" x14ac:dyDescent="0.25">
      <c r="A84" s="236" t="s">
        <v>258</v>
      </c>
      <c r="B84" s="363" t="s">
        <v>278</v>
      </c>
      <c r="C84" s="522">
        <f>SUM(C85:C88)</f>
        <v>0</v>
      </c>
      <c r="D84" s="858">
        <f>SUM(D85:D88)</f>
        <v>0</v>
      </c>
      <c r="E84" s="498">
        <f>SUM(E85:E88)</f>
        <v>0</v>
      </c>
      <c r="F84" s="497">
        <f>SUM(F85:F88)</f>
        <v>0</v>
      </c>
      <c r="G84" s="497">
        <f>SUM(G85:G88)</f>
        <v>0</v>
      </c>
      <c r="H84" s="110">
        <f>'1. sz.mell. '!C86</f>
        <v>0</v>
      </c>
      <c r="I84" s="257">
        <f>SUM(I85:I88)</f>
        <v>0</v>
      </c>
      <c r="J84" s="110">
        <f>SUM(J85:J88)</f>
        <v>0</v>
      </c>
      <c r="K84" s="110">
        <f>SUM(K85:K88)</f>
        <v>0</v>
      </c>
    </row>
    <row r="85" spans="1:11" s="179" customFormat="1" ht="12" customHeight="1" x14ac:dyDescent="0.2">
      <c r="A85" s="184" t="s">
        <v>259</v>
      </c>
      <c r="B85" s="268" t="s">
        <v>260</v>
      </c>
      <c r="C85" s="863"/>
      <c r="D85" s="856"/>
      <c r="E85" s="501"/>
      <c r="F85" s="502"/>
      <c r="G85" s="502"/>
      <c r="H85" s="383">
        <f>'1. sz.mell. '!C87</f>
        <v>0</v>
      </c>
      <c r="I85" s="248"/>
      <c r="J85" s="114"/>
      <c r="K85" s="114"/>
    </row>
    <row r="86" spans="1:11" s="179" customFormat="1" ht="12" customHeight="1" x14ac:dyDescent="0.2">
      <c r="A86" s="185" t="s">
        <v>261</v>
      </c>
      <c r="B86" s="269" t="s">
        <v>262</v>
      </c>
      <c r="C86" s="862"/>
      <c r="D86" s="854"/>
      <c r="E86" s="501"/>
      <c r="F86" s="502"/>
      <c r="G86" s="502"/>
      <c r="H86" s="384">
        <f>'1. sz.mell. '!C88</f>
        <v>0</v>
      </c>
      <c r="I86" s="248"/>
      <c r="J86" s="114"/>
      <c r="K86" s="114"/>
    </row>
    <row r="87" spans="1:11" s="179" customFormat="1" ht="12" customHeight="1" x14ac:dyDescent="0.2">
      <c r="A87" s="185" t="s">
        <v>263</v>
      </c>
      <c r="B87" s="269" t="s">
        <v>264</v>
      </c>
      <c r="C87" s="862"/>
      <c r="D87" s="854"/>
      <c r="E87" s="501"/>
      <c r="F87" s="502"/>
      <c r="G87" s="502"/>
      <c r="H87" s="384">
        <f>'1. sz.mell. '!C89</f>
        <v>0</v>
      </c>
      <c r="I87" s="248"/>
      <c r="J87" s="114"/>
      <c r="K87" s="114"/>
    </row>
    <row r="88" spans="1:11" s="179" customFormat="1" ht="12" customHeight="1" thickBot="1" x14ac:dyDescent="0.25">
      <c r="A88" s="186" t="s">
        <v>265</v>
      </c>
      <c r="B88" s="362" t="s">
        <v>266</v>
      </c>
      <c r="C88" s="865"/>
      <c r="D88" s="857"/>
      <c r="E88" s="501"/>
      <c r="F88" s="502"/>
      <c r="G88" s="502"/>
      <c r="H88" s="385">
        <f>'1. sz.mell. '!C90</f>
        <v>0</v>
      </c>
      <c r="I88" s="248"/>
      <c r="J88" s="114"/>
      <c r="K88" s="114"/>
    </row>
    <row r="89" spans="1:11" s="179" customFormat="1" ht="12" customHeight="1" thickBot="1" x14ac:dyDescent="0.25">
      <c r="A89" s="236" t="s">
        <v>267</v>
      </c>
      <c r="B89" s="363" t="s">
        <v>395</v>
      </c>
      <c r="C89" s="515"/>
      <c r="D89" s="498"/>
      <c r="E89" s="519"/>
      <c r="F89" s="520"/>
      <c r="G89" s="520"/>
      <c r="H89" s="110">
        <f>'1. sz.mell. '!C91</f>
        <v>0</v>
      </c>
      <c r="I89" s="260"/>
      <c r="J89" s="215"/>
      <c r="K89" s="215"/>
    </row>
    <row r="90" spans="1:11" s="179" customFormat="1" ht="12" customHeight="1" thickBot="1" x14ac:dyDescent="0.25">
      <c r="A90" s="236" t="s">
        <v>269</v>
      </c>
      <c r="B90" s="363" t="s">
        <v>268</v>
      </c>
      <c r="C90" s="515"/>
      <c r="D90" s="498"/>
      <c r="E90" s="519"/>
      <c r="F90" s="520"/>
      <c r="G90" s="520"/>
      <c r="H90" s="110">
        <f>'1. sz.mell. '!C92</f>
        <v>0</v>
      </c>
      <c r="I90" s="260"/>
      <c r="J90" s="215"/>
      <c r="K90" s="215"/>
    </row>
    <row r="91" spans="1:11" s="179" customFormat="1" ht="12" customHeight="1" thickBot="1" x14ac:dyDescent="0.25">
      <c r="A91" s="236" t="s">
        <v>281</v>
      </c>
      <c r="B91" s="365" t="s">
        <v>396</v>
      </c>
      <c r="C91" s="515">
        <f>C90+C89+C84+C80+C77+C72+C68</f>
        <v>1824493081</v>
      </c>
      <c r="D91" s="498">
        <f>D90+D89+D84+D80+D77+D72+D68</f>
        <v>1925645545</v>
      </c>
      <c r="E91" s="511">
        <f>+E68+E72+E77+E80+E84+E90+E89</f>
        <v>433431423</v>
      </c>
      <c r="F91" s="512">
        <f>+F68+F72+F77+F80+F84+F90+F89</f>
        <v>447404</v>
      </c>
      <c r="G91" s="512">
        <f>+G68+G72+G77+G80+G84+G90+G89</f>
        <v>3220588</v>
      </c>
      <c r="H91" s="110">
        <f>'1. sz.mell. '!C93</f>
        <v>3717737551</v>
      </c>
      <c r="I91" s="259">
        <f>+I68+I72+I77+I80+I84+I90+I89</f>
        <v>515852575</v>
      </c>
      <c r="J91" s="115">
        <f>+J68+J72+J77+J80+J84+J90+J89</f>
        <v>829764</v>
      </c>
      <c r="K91" s="115">
        <f>+K68+K72+K77+K80+K84+K90+K89</f>
        <v>17254367</v>
      </c>
    </row>
    <row r="92" spans="1:11" s="179" customFormat="1" ht="12" customHeight="1" thickBot="1" x14ac:dyDescent="0.25">
      <c r="A92" s="238" t="s">
        <v>397</v>
      </c>
      <c r="B92" s="366" t="s">
        <v>398</v>
      </c>
      <c r="C92" s="515">
        <f>C91+C67</f>
        <v>4385599509</v>
      </c>
      <c r="D92" s="498">
        <f>D91+D67</f>
        <v>6551267151</v>
      </c>
      <c r="E92" s="511">
        <f>+E67+E91</f>
        <v>1824871137</v>
      </c>
      <c r="F92" s="512">
        <f>+F67+F91</f>
        <v>9863904</v>
      </c>
      <c r="G92" s="512">
        <f>+G67+G91</f>
        <v>393971766</v>
      </c>
      <c r="H92" s="110">
        <f>'1. sz.mell. '!C94</f>
        <v>8186535568</v>
      </c>
      <c r="I92" s="259">
        <f>+I67+I91</f>
        <v>2831811542</v>
      </c>
      <c r="J92" s="115">
        <f>+J67+J91</f>
        <v>9280592</v>
      </c>
      <c r="K92" s="115">
        <f>+K67+K91</f>
        <v>306161282</v>
      </c>
    </row>
    <row r="93" spans="1:11" s="179" customFormat="1" ht="12" customHeight="1" thickBot="1" x14ac:dyDescent="0.25">
      <c r="A93" s="1328" t="s">
        <v>44</v>
      </c>
      <c r="B93" s="1328"/>
      <c r="C93" s="1328"/>
      <c r="D93" s="1328"/>
      <c r="E93" s="1328"/>
      <c r="F93" s="1328"/>
      <c r="G93" s="1328"/>
      <c r="H93" s="1328"/>
    </row>
    <row r="94" spans="1:11" s="179" customFormat="1" ht="36.75" customHeight="1" thickBot="1" x14ac:dyDescent="0.25">
      <c r="A94" s="20" t="s">
        <v>14</v>
      </c>
      <c r="B94" s="378" t="s">
        <v>45</v>
      </c>
      <c r="C94" s="1106" t="str">
        <f t="shared" ref="C94:H94" si="0">C6</f>
        <v>2020. évi tény</v>
      </c>
      <c r="D94" s="813" t="str">
        <f t="shared" si="0"/>
        <v>2021. évi várható adat</v>
      </c>
      <c r="E94" s="813">
        <f t="shared" si="0"/>
        <v>0</v>
      </c>
      <c r="F94" s="813">
        <f t="shared" si="0"/>
        <v>0</v>
      </c>
      <c r="G94" s="813">
        <f t="shared" si="0"/>
        <v>0</v>
      </c>
      <c r="H94" s="827" t="str">
        <f t="shared" si="0"/>
        <v>2022. évi előirányzat</v>
      </c>
    </row>
    <row r="95" spans="1:11" s="179" customFormat="1" ht="12" customHeight="1" thickBot="1" x14ac:dyDescent="0.25">
      <c r="A95" s="25" t="s">
        <v>385</v>
      </c>
      <c r="B95" s="277" t="s">
        <v>386</v>
      </c>
      <c r="C95" s="515" t="s">
        <v>387</v>
      </c>
      <c r="D95" s="521" t="s">
        <v>437</v>
      </c>
      <c r="E95" s="495"/>
      <c r="F95" s="495"/>
      <c r="G95" s="495"/>
      <c r="H95" s="496" t="s">
        <v>438</v>
      </c>
    </row>
    <row r="96" spans="1:11" s="179" customFormat="1" ht="15" customHeight="1" thickBot="1" x14ac:dyDescent="0.25">
      <c r="A96" s="19" t="s">
        <v>16</v>
      </c>
      <c r="B96" s="367" t="s">
        <v>436</v>
      </c>
      <c r="C96" s="811">
        <f>SUM(C97:C101,C114)</f>
        <v>2234422838</v>
      </c>
      <c r="D96" s="811">
        <f>SUM(D97:D101,D114)</f>
        <v>2386975064</v>
      </c>
      <c r="E96" s="820"/>
      <c r="F96" s="822"/>
      <c r="G96" s="811"/>
      <c r="H96" s="829">
        <f>'1. sz.mell. '!C99</f>
        <v>3459499019</v>
      </c>
      <c r="I96" s="263">
        <f>+I97+I98+I99+I100+I101+I114</f>
        <v>729611526</v>
      </c>
      <c r="J96" s="109">
        <f>+J97+J98+J99+J100+J101+J114</f>
        <v>223670940</v>
      </c>
      <c r="K96" s="267">
        <f>K97+K98+K99+K100+K101+K114</f>
        <v>1606947760</v>
      </c>
    </row>
    <row r="97" spans="1:11" s="179" customFormat="1" ht="12.95" customHeight="1" x14ac:dyDescent="0.2">
      <c r="A97" s="14" t="s">
        <v>85</v>
      </c>
      <c r="B97" s="368" t="s">
        <v>46</v>
      </c>
      <c r="C97" s="868">
        <v>1107374684</v>
      </c>
      <c r="D97" s="814">
        <v>1161174126</v>
      </c>
      <c r="E97" s="826"/>
      <c r="F97" s="830"/>
      <c r="G97" s="830"/>
      <c r="H97" s="838">
        <f>'1. sz.mell. '!C100</f>
        <v>1405932483</v>
      </c>
      <c r="I97" s="678">
        <f>23173251+2787126+1407675+14384916+61829+2528076+5742073</f>
        <v>50084946</v>
      </c>
      <c r="J97" s="253">
        <f>147375885+935085+4069918</f>
        <v>152380888</v>
      </c>
      <c r="K97" s="253">
        <f>60512486+64039486+48091292+208655734+471445483</f>
        <v>852744481</v>
      </c>
    </row>
    <row r="98" spans="1:11" ht="16.5" customHeight="1" x14ac:dyDescent="0.25">
      <c r="A98" s="11" t="s">
        <v>86</v>
      </c>
      <c r="B98" s="369" t="s">
        <v>134</v>
      </c>
      <c r="C98" s="866">
        <v>200144461</v>
      </c>
      <c r="D98" s="836">
        <v>193253575</v>
      </c>
      <c r="E98" s="831"/>
      <c r="F98" s="837"/>
      <c r="G98" s="837"/>
      <c r="H98" s="838">
        <f>'1. sz.mell. '!C101</f>
        <v>203129909</v>
      </c>
      <c r="I98" s="248">
        <f>4364055+1409889+7817+2684650+14227+10944+444000+1007723</f>
        <v>9943305</v>
      </c>
      <c r="J98" s="114">
        <f>30406649+133681+815187</f>
        <v>31355517</v>
      </c>
      <c r="K98" s="114">
        <f>13261042+12834203+9499320+44850807+98130166</f>
        <v>178575538</v>
      </c>
    </row>
    <row r="99" spans="1:11" x14ac:dyDescent="0.25">
      <c r="A99" s="11" t="s">
        <v>87</v>
      </c>
      <c r="B99" s="369" t="s">
        <v>110</v>
      </c>
      <c r="C99" s="866">
        <v>742294097</v>
      </c>
      <c r="D99" s="836">
        <v>781923489</v>
      </c>
      <c r="E99" s="834"/>
      <c r="F99" s="812"/>
      <c r="G99" s="837"/>
      <c r="H99" s="838">
        <f>'1. sz.mell. '!C102</f>
        <v>1505621577</v>
      </c>
      <c r="I99" s="251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0">
        <f>38780508+150000+369027+635000</f>
        <v>39934535</v>
      </c>
      <c r="K99" s="114">
        <f>229985778+15749737+50789082+80145873+198957271</f>
        <v>575627741</v>
      </c>
    </row>
    <row r="100" spans="1:11" s="178" customFormat="1" ht="12" customHeight="1" x14ac:dyDescent="0.2">
      <c r="A100" s="11" t="s">
        <v>88</v>
      </c>
      <c r="B100" s="372" t="s">
        <v>135</v>
      </c>
      <c r="C100" s="866">
        <v>46911174</v>
      </c>
      <c r="D100" s="836">
        <v>37424380</v>
      </c>
      <c r="E100" s="834"/>
      <c r="F100" s="812"/>
      <c r="G100" s="812"/>
      <c r="H100" s="838">
        <v>37424380</v>
      </c>
      <c r="I100" s="251">
        <f>24250000+48100000+3500000</f>
        <v>75850000</v>
      </c>
      <c r="J100" s="170"/>
      <c r="K100" s="170"/>
    </row>
    <row r="101" spans="1:11" ht="12" customHeight="1" x14ac:dyDescent="0.25">
      <c r="A101" s="11" t="s">
        <v>99</v>
      </c>
      <c r="B101" s="16" t="s">
        <v>136</v>
      </c>
      <c r="C101" s="807">
        <f>SUM(C102:C113)</f>
        <v>137698422</v>
      </c>
      <c r="D101" s="807">
        <f>SUM(D102:D113)</f>
        <v>213199494</v>
      </c>
      <c r="E101" s="807">
        <f>SUM(E102:E113)</f>
        <v>0</v>
      </c>
      <c r="F101" s="807">
        <f>SUM(F102:F113)</f>
        <v>0</v>
      </c>
      <c r="G101" s="807">
        <f>SUM(G102:G113)</f>
        <v>0</v>
      </c>
      <c r="H101" s="807">
        <f>'1. sz.mell. '!C104</f>
        <v>201443249</v>
      </c>
      <c r="I101" s="251">
        <f>SUM(I102:I113)</f>
        <v>219979003</v>
      </c>
      <c r="J101" s="251">
        <f>SUM(J102:J113)</f>
        <v>0</v>
      </c>
      <c r="K101" s="170"/>
    </row>
    <row r="102" spans="1:11" ht="12" customHeight="1" x14ac:dyDescent="0.25">
      <c r="A102" s="11" t="s">
        <v>89</v>
      </c>
      <c r="B102" s="369" t="s">
        <v>399</v>
      </c>
      <c r="C102" s="866">
        <v>792176</v>
      </c>
      <c r="D102" s="836">
        <v>17102997</v>
      </c>
      <c r="E102" s="834"/>
      <c r="F102" s="812"/>
      <c r="G102" s="812"/>
      <c r="H102" s="838">
        <f>'1. sz.mell. '!C105</f>
        <v>5936986</v>
      </c>
      <c r="I102" s="251">
        <v>100000</v>
      </c>
      <c r="J102" s="170"/>
      <c r="K102" s="170"/>
    </row>
    <row r="103" spans="1:11" ht="12" customHeight="1" x14ac:dyDescent="0.25">
      <c r="A103" s="11" t="s">
        <v>90</v>
      </c>
      <c r="B103" s="371" t="s">
        <v>400</v>
      </c>
      <c r="C103" s="866"/>
      <c r="D103" s="836">
        <v>24566831</v>
      </c>
      <c r="E103" s="834"/>
      <c r="F103" s="812"/>
      <c r="G103" s="812"/>
      <c r="H103" s="838">
        <f>'1. sz.mell. '!C106</f>
        <v>5091319</v>
      </c>
      <c r="I103" s="251"/>
      <c r="J103" s="170"/>
      <c r="K103" s="170"/>
    </row>
    <row r="104" spans="1:11" ht="12" customHeight="1" x14ac:dyDescent="0.25">
      <c r="A104" s="11" t="s">
        <v>100</v>
      </c>
      <c r="B104" s="371" t="s">
        <v>401</v>
      </c>
      <c r="C104" s="866"/>
      <c r="D104" s="836"/>
      <c r="E104" s="834"/>
      <c r="F104" s="812"/>
      <c r="G104" s="812"/>
      <c r="H104" s="838">
        <f>'1. sz.mell. '!C107</f>
        <v>0</v>
      </c>
      <c r="I104" s="251"/>
      <c r="J104" s="170"/>
      <c r="K104" s="170"/>
    </row>
    <row r="105" spans="1:11" ht="12" customHeight="1" x14ac:dyDescent="0.25">
      <c r="A105" s="11" t="s">
        <v>101</v>
      </c>
      <c r="B105" s="380" t="s">
        <v>284</v>
      </c>
      <c r="C105" s="866"/>
      <c r="D105" s="836"/>
      <c r="E105" s="834"/>
      <c r="F105" s="812"/>
      <c r="G105" s="812"/>
      <c r="H105" s="838">
        <f>'1. sz.mell. '!C108</f>
        <v>0</v>
      </c>
      <c r="I105" s="251"/>
      <c r="J105" s="170"/>
      <c r="K105" s="170"/>
    </row>
    <row r="106" spans="1:11" ht="12" customHeight="1" x14ac:dyDescent="0.25">
      <c r="A106" s="11" t="s">
        <v>102</v>
      </c>
      <c r="B106" s="377" t="s">
        <v>285</v>
      </c>
      <c r="C106" s="866"/>
      <c r="D106" s="836"/>
      <c r="E106" s="834"/>
      <c r="F106" s="812"/>
      <c r="G106" s="812"/>
      <c r="H106" s="838">
        <f>'1. sz.mell. '!C109</f>
        <v>0</v>
      </c>
      <c r="I106" s="251"/>
      <c r="J106" s="170"/>
      <c r="K106" s="170"/>
    </row>
    <row r="107" spans="1:11" ht="12" customHeight="1" x14ac:dyDescent="0.25">
      <c r="A107" s="11" t="s">
        <v>103</v>
      </c>
      <c r="B107" s="377" t="s">
        <v>286</v>
      </c>
      <c r="C107" s="866"/>
      <c r="D107" s="836"/>
      <c r="E107" s="834"/>
      <c r="F107" s="812"/>
      <c r="G107" s="812"/>
      <c r="H107" s="838">
        <f>'1. sz.mell. '!C110</f>
        <v>0</v>
      </c>
      <c r="I107" s="251"/>
      <c r="J107" s="170"/>
      <c r="K107" s="170"/>
    </row>
    <row r="108" spans="1:11" ht="12" customHeight="1" x14ac:dyDescent="0.25">
      <c r="A108" s="11" t="s">
        <v>105</v>
      </c>
      <c r="B108" s="380" t="s">
        <v>287</v>
      </c>
      <c r="C108" s="866">
        <v>1352500</v>
      </c>
      <c r="D108" s="836">
        <v>574972</v>
      </c>
      <c r="E108" s="834"/>
      <c r="F108" s="812"/>
      <c r="G108" s="812"/>
      <c r="H108" s="838">
        <f>'1. sz.mell. '!C111</f>
        <v>1269096</v>
      </c>
      <c r="I108" s="251">
        <f>523000</f>
        <v>523000</v>
      </c>
      <c r="J108" s="170"/>
      <c r="K108" s="170"/>
    </row>
    <row r="109" spans="1:11" ht="12" customHeight="1" x14ac:dyDescent="0.25">
      <c r="A109" s="11" t="s">
        <v>137</v>
      </c>
      <c r="B109" s="380" t="s">
        <v>288</v>
      </c>
      <c r="C109" s="866"/>
      <c r="D109" s="836"/>
      <c r="E109" s="834"/>
      <c r="F109" s="812"/>
      <c r="G109" s="812"/>
      <c r="H109" s="838">
        <f>'1. sz.mell. '!C112</f>
        <v>0</v>
      </c>
      <c r="I109" s="251"/>
      <c r="J109" s="170"/>
      <c r="K109" s="170"/>
    </row>
    <row r="110" spans="1:11" ht="12" customHeight="1" x14ac:dyDescent="0.25">
      <c r="A110" s="11" t="s">
        <v>282</v>
      </c>
      <c r="B110" s="377" t="s">
        <v>289</v>
      </c>
      <c r="C110" s="866"/>
      <c r="D110" s="836"/>
      <c r="E110" s="834"/>
      <c r="F110" s="812"/>
      <c r="G110" s="812"/>
      <c r="H110" s="838">
        <f>'1. sz.mell. '!C113</f>
        <v>0</v>
      </c>
      <c r="I110" s="251"/>
      <c r="J110" s="170"/>
      <c r="K110" s="170"/>
    </row>
    <row r="111" spans="1:11" ht="12" customHeight="1" x14ac:dyDescent="0.25">
      <c r="A111" s="10" t="s">
        <v>283</v>
      </c>
      <c r="B111" s="371" t="s">
        <v>290</v>
      </c>
      <c r="C111" s="866"/>
      <c r="D111" s="836"/>
      <c r="E111" s="834"/>
      <c r="F111" s="812"/>
      <c r="G111" s="812"/>
      <c r="H111" s="838">
        <f>'1. sz.mell. '!C114</f>
        <v>0</v>
      </c>
      <c r="I111" s="251"/>
      <c r="J111" s="170"/>
      <c r="K111" s="170"/>
    </row>
    <row r="112" spans="1:11" ht="12" customHeight="1" x14ac:dyDescent="0.25">
      <c r="A112" s="11" t="s">
        <v>402</v>
      </c>
      <c r="B112" s="371" t="s">
        <v>291</v>
      </c>
      <c r="C112" s="866"/>
      <c r="D112" s="836"/>
      <c r="E112" s="834"/>
      <c r="F112" s="812"/>
      <c r="G112" s="812"/>
      <c r="H112" s="838">
        <f>'1. sz.mell. '!C115</f>
        <v>0</v>
      </c>
      <c r="I112" s="251"/>
      <c r="J112" s="170"/>
      <c r="K112" s="170"/>
    </row>
    <row r="113" spans="1:11" ht="12" customHeight="1" x14ac:dyDescent="0.25">
      <c r="A113" s="13" t="s">
        <v>403</v>
      </c>
      <c r="B113" s="371" t="s">
        <v>292</v>
      </c>
      <c r="C113" s="866">
        <v>135553746</v>
      </c>
      <c r="D113" s="836">
        <v>170954694</v>
      </c>
      <c r="E113" s="831"/>
      <c r="F113" s="837"/>
      <c r="G113" s="812"/>
      <c r="H113" s="838">
        <v>213199494</v>
      </c>
      <c r="I113" s="248">
        <f>1000000+47869145+6604733+15489215+46984511+23326783+69312000+7332000+1437616</f>
        <v>219356003</v>
      </c>
      <c r="J113" s="114"/>
      <c r="K113" s="170"/>
    </row>
    <row r="114" spans="1:11" ht="12" customHeight="1" x14ac:dyDescent="0.25">
      <c r="A114" s="11" t="s">
        <v>404</v>
      </c>
      <c r="B114" s="372" t="s">
        <v>47</v>
      </c>
      <c r="C114" s="866"/>
      <c r="D114" s="836"/>
      <c r="E114" s="831"/>
      <c r="F114" s="837"/>
      <c r="G114" s="837"/>
      <c r="H114" s="838">
        <f>'1. sz.mell. '!C117</f>
        <v>105321801</v>
      </c>
      <c r="I114" s="248">
        <f>SUM(I115:I116)</f>
        <v>78390965</v>
      </c>
      <c r="J114" s="248">
        <f>SUM(J115:J116)</f>
        <v>0</v>
      </c>
      <c r="K114" s="114"/>
    </row>
    <row r="115" spans="1:11" ht="12" customHeight="1" x14ac:dyDescent="0.25">
      <c r="A115" s="11" t="s">
        <v>405</v>
      </c>
      <c r="B115" s="369" t="s">
        <v>406</v>
      </c>
      <c r="C115" s="866"/>
      <c r="D115" s="836"/>
      <c r="E115" s="834"/>
      <c r="F115" s="812"/>
      <c r="G115" s="837"/>
      <c r="H115" s="838">
        <f>'1. sz.mell. '!C118</f>
        <v>919032</v>
      </c>
      <c r="I115" s="251">
        <v>15000000</v>
      </c>
      <c r="J115" s="170"/>
      <c r="K115" s="114"/>
    </row>
    <row r="116" spans="1:11" ht="12" customHeight="1" thickBot="1" x14ac:dyDescent="0.3">
      <c r="A116" s="15" t="s">
        <v>407</v>
      </c>
      <c r="B116" s="373" t="s">
        <v>408</v>
      </c>
      <c r="C116" s="867"/>
      <c r="D116" s="828"/>
      <c r="E116" s="815"/>
      <c r="F116" s="833"/>
      <c r="G116" s="833"/>
      <c r="H116" s="838">
        <f>'1. sz.mell. '!C119</f>
        <v>104402769</v>
      </c>
      <c r="I116" s="272">
        <f>63390965</f>
        <v>63390965</v>
      </c>
      <c r="J116" s="256"/>
      <c r="K116" s="256"/>
    </row>
    <row r="117" spans="1:11" ht="12" customHeight="1" thickBot="1" x14ac:dyDescent="0.3">
      <c r="A117" s="240" t="s">
        <v>17</v>
      </c>
      <c r="B117" s="353" t="s">
        <v>293</v>
      </c>
      <c r="C117" s="811">
        <f>C118+C120+C122</f>
        <v>401828104</v>
      </c>
      <c r="D117" s="811">
        <f>D118+D120+D122</f>
        <v>564129676</v>
      </c>
      <c r="E117" s="809"/>
      <c r="F117" s="816"/>
      <c r="G117" s="835"/>
      <c r="H117" s="832">
        <f>'1. sz.mell. '!C120</f>
        <v>3599232146</v>
      </c>
      <c r="I117" s="257">
        <f>+I118+I120+I122</f>
        <v>404630354</v>
      </c>
      <c r="J117" s="110">
        <f>+J118+J120+J122</f>
        <v>3585917</v>
      </c>
      <c r="K117" s="242">
        <f>+K118+K120+K122</f>
        <v>19950087</v>
      </c>
    </row>
    <row r="118" spans="1:11" ht="12" customHeight="1" x14ac:dyDescent="0.25">
      <c r="A118" s="12" t="s">
        <v>91</v>
      </c>
      <c r="B118" s="369" t="s">
        <v>157</v>
      </c>
      <c r="C118" s="868">
        <v>223119190</v>
      </c>
      <c r="D118" s="814">
        <v>274821481</v>
      </c>
      <c r="E118" s="810"/>
      <c r="F118" s="823"/>
      <c r="G118" s="823"/>
      <c r="H118" s="838">
        <f>'1. sz.mell. '!C121</f>
        <v>978605469</v>
      </c>
      <c r="I118" s="677">
        <f>229989520+300000+13809000+835610+12076323+1270000+359410+4508500+2505001+5000+6704583</f>
        <v>272362947</v>
      </c>
      <c r="J118" s="214">
        <f>3355917+230000</f>
        <v>3585917</v>
      </c>
      <c r="K118" s="214">
        <f>506050+641350+1986214+1926590+13924683</f>
        <v>18984887</v>
      </c>
    </row>
    <row r="119" spans="1:11" x14ac:dyDescent="0.25">
      <c r="A119" s="12" t="s">
        <v>92</v>
      </c>
      <c r="B119" s="370" t="s">
        <v>297</v>
      </c>
      <c r="C119" s="866"/>
      <c r="D119" s="836"/>
      <c r="E119" s="810"/>
      <c r="F119" s="823"/>
      <c r="G119" s="823"/>
      <c r="H119" s="838">
        <f>'1. sz.mell. '!C122</f>
        <v>442903183</v>
      </c>
      <c r="I119" s="677">
        <f>156693000+42191010+12076323+6704583</f>
        <v>217664916</v>
      </c>
      <c r="J119" s="214"/>
      <c r="K119" s="214">
        <v>717651</v>
      </c>
    </row>
    <row r="120" spans="1:11" ht="12" customHeight="1" x14ac:dyDescent="0.25">
      <c r="A120" s="12" t="s">
        <v>93</v>
      </c>
      <c r="B120" s="370" t="s">
        <v>138</v>
      </c>
      <c r="C120" s="866">
        <v>174642005</v>
      </c>
      <c r="D120" s="836">
        <v>286496384</v>
      </c>
      <c r="E120" s="831"/>
      <c r="F120" s="837"/>
      <c r="G120" s="837"/>
      <c r="H120" s="838">
        <f>'1. sz.mell. '!C123</f>
        <v>2616438434</v>
      </c>
      <c r="I120" s="248">
        <f>9517731+51474577+42450993+1905000</f>
        <v>105348301</v>
      </c>
      <c r="J120" s="114"/>
      <c r="K120" s="114">
        <v>965200</v>
      </c>
    </row>
    <row r="121" spans="1:11" ht="12" customHeight="1" x14ac:dyDescent="0.25">
      <c r="A121" s="12" t="s">
        <v>94</v>
      </c>
      <c r="B121" s="370" t="s">
        <v>298</v>
      </c>
      <c r="C121" s="866"/>
      <c r="D121" s="836"/>
      <c r="E121" s="831"/>
      <c r="F121" s="821"/>
      <c r="G121" s="831"/>
      <c r="H121" s="838">
        <f>'1. sz.mell. '!C124</f>
        <v>1179981633</v>
      </c>
      <c r="I121" s="248">
        <f>28614577+42450993-1206500</f>
        <v>69859070</v>
      </c>
      <c r="J121" s="469"/>
      <c r="K121" s="248"/>
    </row>
    <row r="122" spans="1:11" ht="12" customHeight="1" x14ac:dyDescent="0.25">
      <c r="A122" s="12" t="s">
        <v>95</v>
      </c>
      <c r="B122" s="362" t="s">
        <v>159</v>
      </c>
      <c r="C122" s="866">
        <f>SUM(C123:C130)</f>
        <v>4066909</v>
      </c>
      <c r="D122" s="866">
        <f>SUM(D123:D130)</f>
        <v>2811811</v>
      </c>
      <c r="E122" s="831"/>
      <c r="F122" s="831"/>
      <c r="G122" s="831"/>
      <c r="H122" s="838">
        <f>'1. sz.mell. '!C125</f>
        <v>4188243</v>
      </c>
      <c r="I122" s="248">
        <f>SUM(I123:I130)</f>
        <v>26919106</v>
      </c>
      <c r="J122" s="248">
        <f>SUM(J123:J130)</f>
        <v>0</v>
      </c>
      <c r="K122" s="248"/>
    </row>
    <row r="123" spans="1:11" ht="12" customHeight="1" x14ac:dyDescent="0.25">
      <c r="A123" s="12" t="s">
        <v>104</v>
      </c>
      <c r="B123" s="361" t="s">
        <v>358</v>
      </c>
      <c r="C123" s="866"/>
      <c r="D123" s="836"/>
      <c r="E123" s="817"/>
      <c r="F123" s="817"/>
      <c r="G123" s="831"/>
      <c r="H123" s="838">
        <f>'1. sz.mell. '!C126</f>
        <v>0</v>
      </c>
      <c r="I123" s="99"/>
      <c r="J123" s="99"/>
      <c r="K123" s="248"/>
    </row>
    <row r="124" spans="1:11" ht="12" customHeight="1" x14ac:dyDescent="0.25">
      <c r="A124" s="12" t="s">
        <v>106</v>
      </c>
      <c r="B124" s="376" t="s">
        <v>303</v>
      </c>
      <c r="C124" s="866"/>
      <c r="D124" s="836"/>
      <c r="E124" s="817"/>
      <c r="F124" s="817"/>
      <c r="G124" s="831"/>
      <c r="H124" s="838">
        <f>'1. sz.mell. '!C127</f>
        <v>0</v>
      </c>
      <c r="I124" s="99"/>
      <c r="J124" s="99"/>
      <c r="K124" s="248"/>
    </row>
    <row r="125" spans="1:11" ht="12" customHeight="1" x14ac:dyDescent="0.25">
      <c r="A125" s="12" t="s">
        <v>139</v>
      </c>
      <c r="B125" s="377" t="s">
        <v>286</v>
      </c>
      <c r="C125" s="866"/>
      <c r="D125" s="836"/>
      <c r="E125" s="817"/>
      <c r="F125" s="817"/>
      <c r="G125" s="831"/>
      <c r="H125" s="838">
        <f>'1. sz.mell. '!C128</f>
        <v>0</v>
      </c>
      <c r="I125" s="99"/>
      <c r="J125" s="99"/>
      <c r="K125" s="248"/>
    </row>
    <row r="126" spans="1:11" ht="12" customHeight="1" x14ac:dyDescent="0.25">
      <c r="A126" s="12" t="s">
        <v>140</v>
      </c>
      <c r="B126" s="377" t="s">
        <v>302</v>
      </c>
      <c r="C126" s="866"/>
      <c r="D126" s="836"/>
      <c r="E126" s="817"/>
      <c r="F126" s="817"/>
      <c r="G126" s="831"/>
      <c r="H126" s="838">
        <f>'1. sz.mell. '!C129</f>
        <v>1255919</v>
      </c>
      <c r="I126" s="99"/>
      <c r="J126" s="99"/>
      <c r="K126" s="248"/>
    </row>
    <row r="127" spans="1:11" ht="12" customHeight="1" x14ac:dyDescent="0.25">
      <c r="A127" s="12" t="s">
        <v>141</v>
      </c>
      <c r="B127" s="377" t="s">
        <v>301</v>
      </c>
      <c r="C127" s="866"/>
      <c r="D127" s="836"/>
      <c r="E127" s="817"/>
      <c r="F127" s="817"/>
      <c r="G127" s="831"/>
      <c r="H127" s="838">
        <f>'1. sz.mell. '!C130</f>
        <v>0</v>
      </c>
      <c r="I127" s="99"/>
      <c r="J127" s="99"/>
      <c r="K127" s="248"/>
    </row>
    <row r="128" spans="1:11" ht="12" customHeight="1" x14ac:dyDescent="0.25">
      <c r="A128" s="12" t="s">
        <v>294</v>
      </c>
      <c r="B128" s="377" t="s">
        <v>289</v>
      </c>
      <c r="C128" s="866"/>
      <c r="D128" s="836"/>
      <c r="E128" s="817"/>
      <c r="F128" s="817"/>
      <c r="G128" s="831"/>
      <c r="H128" s="838">
        <f>'1. sz.mell. '!C131</f>
        <v>0</v>
      </c>
      <c r="I128" s="99"/>
      <c r="J128" s="99"/>
      <c r="K128" s="248"/>
    </row>
    <row r="129" spans="1:11" ht="12" customHeight="1" x14ac:dyDescent="0.25">
      <c r="A129" s="12" t="s">
        <v>295</v>
      </c>
      <c r="B129" s="377" t="s">
        <v>300</v>
      </c>
      <c r="C129" s="866"/>
      <c r="D129" s="836"/>
      <c r="E129" s="817"/>
      <c r="F129" s="817"/>
      <c r="G129" s="831"/>
      <c r="H129" s="838">
        <f>'1. sz.mell. '!C132</f>
        <v>0</v>
      </c>
      <c r="I129" s="99"/>
      <c r="J129" s="99"/>
      <c r="K129" s="248"/>
    </row>
    <row r="130" spans="1:11" ht="12" customHeight="1" thickBot="1" x14ac:dyDescent="0.3">
      <c r="A130" s="10" t="s">
        <v>296</v>
      </c>
      <c r="B130" s="377" t="s">
        <v>299</v>
      </c>
      <c r="C130" s="867">
        <v>4066909</v>
      </c>
      <c r="D130" s="828">
        <v>2811811</v>
      </c>
      <c r="E130" s="834"/>
      <c r="F130" s="834"/>
      <c r="G130" s="834"/>
      <c r="H130" s="838">
        <f>'1. sz.mell. '!C133</f>
        <v>2932324</v>
      </c>
      <c r="I130" s="251">
        <f>650000+26269106</f>
        <v>26919106</v>
      </c>
      <c r="J130" s="251"/>
      <c r="K130" s="251"/>
    </row>
    <row r="131" spans="1:11" ht="12" customHeight="1" thickBot="1" x14ac:dyDescent="0.3">
      <c r="A131" s="17" t="s">
        <v>18</v>
      </c>
      <c r="B131" s="354" t="s">
        <v>409</v>
      </c>
      <c r="C131" s="811">
        <f>C117+C96</f>
        <v>2636250942</v>
      </c>
      <c r="D131" s="811">
        <f>D117+D96</f>
        <v>2951104740</v>
      </c>
      <c r="E131" s="809"/>
      <c r="F131" s="816"/>
      <c r="G131" s="816"/>
      <c r="H131" s="832">
        <f>'1. sz.mell. '!C134</f>
        <v>7058731165</v>
      </c>
      <c r="I131" s="257">
        <f>+I96+I117</f>
        <v>1134241880</v>
      </c>
      <c r="J131" s="110">
        <f>+J96+J117</f>
        <v>227256857</v>
      </c>
      <c r="K131" s="110">
        <f>+K96+K117</f>
        <v>1626897847</v>
      </c>
    </row>
    <row r="132" spans="1:11" ht="12" customHeight="1" thickBot="1" x14ac:dyDescent="0.3">
      <c r="A132" s="17" t="s">
        <v>19</v>
      </c>
      <c r="B132" s="354" t="s">
        <v>410</v>
      </c>
      <c r="C132" s="811">
        <f>SUM(C133:C135)</f>
        <v>847193674</v>
      </c>
      <c r="D132" s="811">
        <f>SUM(D133:D135)</f>
        <v>1028491534</v>
      </c>
      <c r="E132" s="809"/>
      <c r="F132" s="816"/>
      <c r="G132" s="816"/>
      <c r="H132" s="832">
        <f>'1. sz.mell. '!C135</f>
        <v>1072728296</v>
      </c>
      <c r="I132" s="257">
        <f>+I133+I134+I135</f>
        <v>116952500</v>
      </c>
      <c r="J132" s="110">
        <f>+J133+J134+J135</f>
        <v>0</v>
      </c>
      <c r="K132" s="110">
        <f>+K133+K134+K135</f>
        <v>0</v>
      </c>
    </row>
    <row r="133" spans="1:11" ht="12" customHeight="1" x14ac:dyDescent="0.25">
      <c r="A133" s="12" t="s">
        <v>195</v>
      </c>
      <c r="B133" s="370" t="s">
        <v>411</v>
      </c>
      <c r="C133" s="869">
        <v>26038434</v>
      </c>
      <c r="D133" s="818">
        <v>24993747</v>
      </c>
      <c r="E133" s="831"/>
      <c r="F133" s="831"/>
      <c r="G133" s="831"/>
      <c r="H133" s="838">
        <f>'1. sz.mell. '!C136</f>
        <v>22728296</v>
      </c>
      <c r="I133" s="248">
        <f>11674500+5278000</f>
        <v>16952500</v>
      </c>
      <c r="J133" s="248"/>
      <c r="K133" s="248"/>
    </row>
    <row r="134" spans="1:11" ht="12" customHeight="1" x14ac:dyDescent="0.25">
      <c r="A134" s="12" t="s">
        <v>198</v>
      </c>
      <c r="B134" s="370" t="s">
        <v>412</v>
      </c>
      <c r="C134" s="870">
        <v>821155240</v>
      </c>
      <c r="D134" s="819">
        <v>1003497787</v>
      </c>
      <c r="E134" s="817"/>
      <c r="F134" s="817"/>
      <c r="G134" s="817"/>
      <c r="H134" s="838">
        <f>'1. sz.mell. '!C137</f>
        <v>1050000000</v>
      </c>
      <c r="I134" s="99">
        <v>100000000</v>
      </c>
      <c r="J134" s="99"/>
      <c r="K134" s="99"/>
    </row>
    <row r="135" spans="1:11" ht="12" customHeight="1" thickBot="1" x14ac:dyDescent="0.3">
      <c r="A135" s="10" t="s">
        <v>199</v>
      </c>
      <c r="B135" s="370" t="s">
        <v>413</v>
      </c>
      <c r="C135" s="871"/>
      <c r="D135" s="806"/>
      <c r="E135" s="817"/>
      <c r="F135" s="817"/>
      <c r="G135" s="817"/>
      <c r="H135" s="808">
        <f>'1. sz.mell. '!C138</f>
        <v>0</v>
      </c>
      <c r="I135" s="99"/>
      <c r="J135" s="99"/>
      <c r="K135" s="99"/>
    </row>
    <row r="136" spans="1:11" ht="12" customHeight="1" thickBot="1" x14ac:dyDescent="0.3">
      <c r="A136" s="17" t="s">
        <v>20</v>
      </c>
      <c r="B136" s="354" t="s">
        <v>414</v>
      </c>
      <c r="C136" s="824">
        <f>SUM(C137:C142)</f>
        <v>0</v>
      </c>
      <c r="D136" s="824">
        <f>SUM(D137:D142)</f>
        <v>0</v>
      </c>
      <c r="E136" s="824">
        <f>SUM(E137:E142)</f>
        <v>0</v>
      </c>
      <c r="F136" s="824">
        <f>SUM(F137:F142)</f>
        <v>0</v>
      </c>
      <c r="G136" s="824">
        <f>SUM(G137:G142)</f>
        <v>0</v>
      </c>
      <c r="H136" s="824">
        <f>'1. sz.mell. '!C139</f>
        <v>0</v>
      </c>
      <c r="I136" s="257">
        <f>+I137+I138+I139+I140+I141+I142</f>
        <v>0</v>
      </c>
      <c r="J136" s="110">
        <f>+J137+J138+J139+J140+J141+J142</f>
        <v>0</v>
      </c>
      <c r="K136" s="110">
        <f>SUM(K137:K142)</f>
        <v>0</v>
      </c>
    </row>
    <row r="137" spans="1:11" ht="12" customHeight="1" x14ac:dyDescent="0.25">
      <c r="A137" s="12" t="s">
        <v>78</v>
      </c>
      <c r="B137" s="374" t="s">
        <v>415</v>
      </c>
      <c r="C137" s="869"/>
      <c r="D137" s="818"/>
      <c r="E137" s="817"/>
      <c r="F137" s="817"/>
      <c r="G137" s="817"/>
      <c r="H137" s="838">
        <f>'1. sz.mell. '!C140</f>
        <v>0</v>
      </c>
      <c r="I137" s="99"/>
      <c r="J137" s="99"/>
      <c r="K137" s="99"/>
    </row>
    <row r="138" spans="1:11" ht="12" customHeight="1" x14ac:dyDescent="0.25">
      <c r="A138" s="12" t="s">
        <v>79</v>
      </c>
      <c r="B138" s="374" t="s">
        <v>416</v>
      </c>
      <c r="C138" s="870"/>
      <c r="D138" s="819"/>
      <c r="E138" s="817"/>
      <c r="F138" s="817"/>
      <c r="G138" s="817"/>
      <c r="H138" s="838">
        <f>'1. sz.mell. '!C141</f>
        <v>0</v>
      </c>
      <c r="I138" s="99"/>
      <c r="J138" s="99"/>
      <c r="K138" s="99"/>
    </row>
    <row r="139" spans="1:11" ht="12" customHeight="1" x14ac:dyDescent="0.25">
      <c r="A139" s="12" t="s">
        <v>80</v>
      </c>
      <c r="B139" s="374" t="s">
        <v>417</v>
      </c>
      <c r="C139" s="870"/>
      <c r="D139" s="819"/>
      <c r="E139" s="817"/>
      <c r="F139" s="817"/>
      <c r="G139" s="817"/>
      <c r="H139" s="838">
        <f>'1. sz.mell. '!C142</f>
        <v>0</v>
      </c>
      <c r="I139" s="99"/>
      <c r="J139" s="99"/>
      <c r="K139" s="99"/>
    </row>
    <row r="140" spans="1:11" ht="12" customHeight="1" x14ac:dyDescent="0.25">
      <c r="A140" s="12" t="s">
        <v>126</v>
      </c>
      <c r="B140" s="374" t="s">
        <v>418</v>
      </c>
      <c r="C140" s="870"/>
      <c r="D140" s="819"/>
      <c r="E140" s="817"/>
      <c r="F140" s="817"/>
      <c r="G140" s="817"/>
      <c r="H140" s="838">
        <f>'1. sz.mell. '!C143</f>
        <v>0</v>
      </c>
      <c r="I140" s="99"/>
      <c r="J140" s="99"/>
      <c r="K140" s="99"/>
    </row>
    <row r="141" spans="1:11" ht="12" customHeight="1" x14ac:dyDescent="0.25">
      <c r="A141" s="12" t="s">
        <v>127</v>
      </c>
      <c r="B141" s="374" t="s">
        <v>419</v>
      </c>
      <c r="C141" s="870"/>
      <c r="D141" s="819"/>
      <c r="E141" s="817"/>
      <c r="F141" s="817"/>
      <c r="G141" s="817"/>
      <c r="H141" s="838">
        <f>'1. sz.mell. '!C144</f>
        <v>0</v>
      </c>
      <c r="I141" s="99"/>
      <c r="J141" s="99"/>
      <c r="K141" s="99"/>
    </row>
    <row r="142" spans="1:11" ht="12" customHeight="1" thickBot="1" x14ac:dyDescent="0.3">
      <c r="A142" s="10" t="s">
        <v>128</v>
      </c>
      <c r="B142" s="374" t="s">
        <v>420</v>
      </c>
      <c r="C142" s="871"/>
      <c r="D142" s="806"/>
      <c r="E142" s="817"/>
      <c r="F142" s="817"/>
      <c r="G142" s="817"/>
      <c r="H142" s="808">
        <f>'1. sz.mell. '!C145</f>
        <v>0</v>
      </c>
      <c r="I142" s="99"/>
      <c r="J142" s="99"/>
      <c r="K142" s="99"/>
    </row>
    <row r="143" spans="1:11" ht="12" customHeight="1" thickBot="1" x14ac:dyDescent="0.3">
      <c r="A143" s="17" t="s">
        <v>21</v>
      </c>
      <c r="B143" s="354" t="s">
        <v>421</v>
      </c>
      <c r="C143" s="811">
        <f>SUM(C144:C147)</f>
        <v>45672254</v>
      </c>
      <c r="D143" s="811">
        <f t="shared" ref="D143:K143" si="1">SUM(D144:D147)</f>
        <v>48966750</v>
      </c>
      <c r="E143" s="811">
        <f t="shared" si="1"/>
        <v>0</v>
      </c>
      <c r="F143" s="811">
        <f t="shared" si="1"/>
        <v>0</v>
      </c>
      <c r="G143" s="811">
        <f t="shared" si="1"/>
        <v>0</v>
      </c>
      <c r="H143" s="811">
        <f>'1. sz.mell. '!C146</f>
        <v>55076107</v>
      </c>
      <c r="I143" s="498">
        <f t="shared" si="1"/>
        <v>41904332</v>
      </c>
      <c r="J143" s="515">
        <f t="shared" si="1"/>
        <v>0</v>
      </c>
      <c r="K143" s="515">
        <f t="shared" si="1"/>
        <v>0</v>
      </c>
    </row>
    <row r="144" spans="1:11" ht="12" customHeight="1" x14ac:dyDescent="0.25">
      <c r="A144" s="12" t="s">
        <v>81</v>
      </c>
      <c r="B144" s="374" t="s">
        <v>304</v>
      </c>
      <c r="C144" s="869"/>
      <c r="D144" s="818"/>
      <c r="E144" s="817"/>
      <c r="F144" s="817"/>
      <c r="G144" s="817"/>
      <c r="H144" s="839">
        <f>'1. sz.mell. '!C147</f>
        <v>0</v>
      </c>
      <c r="I144" s="99"/>
      <c r="J144" s="99"/>
      <c r="K144" s="99"/>
    </row>
    <row r="145" spans="1:11" ht="12" customHeight="1" x14ac:dyDescent="0.25">
      <c r="A145" s="12" t="s">
        <v>82</v>
      </c>
      <c r="B145" s="374" t="s">
        <v>305</v>
      </c>
      <c r="C145" s="870">
        <v>45672254</v>
      </c>
      <c r="D145" s="819">
        <v>48966750</v>
      </c>
      <c r="E145" s="817"/>
      <c r="F145" s="817"/>
      <c r="G145" s="817"/>
      <c r="H145" s="838">
        <f>'1. sz.mell. '!C148</f>
        <v>55076107</v>
      </c>
      <c r="I145" s="99">
        <f>41904332</f>
        <v>41904332</v>
      </c>
      <c r="J145" s="99"/>
      <c r="K145" s="99"/>
    </row>
    <row r="146" spans="1:11" ht="12" customHeight="1" x14ac:dyDescent="0.25">
      <c r="A146" s="12" t="s">
        <v>218</v>
      </c>
      <c r="B146" s="374" t="s">
        <v>422</v>
      </c>
      <c r="C146" s="870"/>
      <c r="D146" s="819"/>
      <c r="E146" s="817"/>
      <c r="F146" s="817"/>
      <c r="G146" s="817"/>
      <c r="H146" s="839">
        <f>'1. sz.mell. '!C149</f>
        <v>0</v>
      </c>
      <c r="I146" s="99"/>
      <c r="J146" s="99"/>
      <c r="K146" s="99"/>
    </row>
    <row r="147" spans="1:11" ht="12" customHeight="1" thickBot="1" x14ac:dyDescent="0.3">
      <c r="A147" s="10" t="s">
        <v>219</v>
      </c>
      <c r="B147" s="375" t="s">
        <v>323</v>
      </c>
      <c r="C147" s="871"/>
      <c r="D147" s="806"/>
      <c r="E147" s="817"/>
      <c r="F147" s="817"/>
      <c r="G147" s="817"/>
      <c r="H147" s="840">
        <f>'1. sz.mell. '!C150</f>
        <v>0</v>
      </c>
      <c r="I147" s="99"/>
      <c r="J147" s="99"/>
      <c r="K147" s="99"/>
    </row>
    <row r="148" spans="1:11" ht="12" customHeight="1" thickBot="1" x14ac:dyDescent="0.3">
      <c r="A148" s="17" t="s">
        <v>22</v>
      </c>
      <c r="B148" s="354" t="s">
        <v>423</v>
      </c>
      <c r="C148" s="841">
        <f>SUM(C149:C153)</f>
        <v>0</v>
      </c>
      <c r="D148" s="841">
        <f>SUM(D149:D153)</f>
        <v>0</v>
      </c>
      <c r="E148" s="841">
        <f>SUM(E149:E153)</f>
        <v>0</v>
      </c>
      <c r="F148" s="841">
        <f>SUM(F149:F153)</f>
        <v>0</v>
      </c>
      <c r="G148" s="841">
        <f>SUM(G149:G153)</f>
        <v>0</v>
      </c>
      <c r="H148" s="841">
        <f>'1. sz.mell. '!C151</f>
        <v>0</v>
      </c>
      <c r="I148" s="264">
        <f>+I149+I150+I151+I152+I153</f>
        <v>0</v>
      </c>
      <c r="J148" s="118">
        <f>+J149+J150+J151+J152+J153</f>
        <v>0</v>
      </c>
      <c r="K148" s="118">
        <f>SUM(K149:K153)</f>
        <v>0</v>
      </c>
    </row>
    <row r="149" spans="1:11" ht="12" customHeight="1" x14ac:dyDescent="0.25">
      <c r="A149" s="12" t="s">
        <v>83</v>
      </c>
      <c r="B149" s="374" t="s">
        <v>424</v>
      </c>
      <c r="C149" s="869"/>
      <c r="D149" s="818"/>
      <c r="E149" s="817"/>
      <c r="F149" s="817"/>
      <c r="G149" s="817"/>
      <c r="H149" s="839">
        <f>'1. sz.mell. '!C152</f>
        <v>0</v>
      </c>
      <c r="I149" s="99"/>
      <c r="J149" s="99"/>
      <c r="K149" s="99"/>
    </row>
    <row r="150" spans="1:11" ht="12" customHeight="1" x14ac:dyDescent="0.25">
      <c r="A150" s="12" t="s">
        <v>84</v>
      </c>
      <c r="B150" s="374" t="s">
        <v>425</v>
      </c>
      <c r="C150" s="870"/>
      <c r="D150" s="819"/>
      <c r="E150" s="817"/>
      <c r="F150" s="817"/>
      <c r="G150" s="817"/>
      <c r="H150" s="839">
        <f>'1. sz.mell. '!C153</f>
        <v>0</v>
      </c>
      <c r="I150" s="99"/>
      <c r="J150" s="99"/>
      <c r="K150" s="99"/>
    </row>
    <row r="151" spans="1:11" ht="12" customHeight="1" x14ac:dyDescent="0.25">
      <c r="A151" s="12" t="s">
        <v>230</v>
      </c>
      <c r="B151" s="374" t="s">
        <v>426</v>
      </c>
      <c r="C151" s="870"/>
      <c r="D151" s="819"/>
      <c r="E151" s="817"/>
      <c r="F151" s="817"/>
      <c r="G151" s="817"/>
      <c r="H151" s="839">
        <f>'1. sz.mell. '!C154</f>
        <v>0</v>
      </c>
      <c r="I151" s="99"/>
      <c r="J151" s="99"/>
      <c r="K151" s="99"/>
    </row>
    <row r="152" spans="1:11" ht="12" customHeight="1" x14ac:dyDescent="0.25">
      <c r="A152" s="12" t="s">
        <v>231</v>
      </c>
      <c r="B152" s="374" t="s">
        <v>427</v>
      </c>
      <c r="C152" s="870"/>
      <c r="D152" s="819"/>
      <c r="E152" s="817"/>
      <c r="F152" s="817"/>
      <c r="G152" s="817"/>
      <c r="H152" s="839">
        <f>'1. sz.mell. '!C155</f>
        <v>0</v>
      </c>
      <c r="I152" s="99"/>
      <c r="J152" s="99"/>
      <c r="K152" s="99"/>
    </row>
    <row r="153" spans="1:11" ht="12" customHeight="1" thickBot="1" x14ac:dyDescent="0.3">
      <c r="A153" s="12" t="s">
        <v>428</v>
      </c>
      <c r="B153" s="374" t="s">
        <v>429</v>
      </c>
      <c r="C153" s="871"/>
      <c r="D153" s="806"/>
      <c r="E153" s="842"/>
      <c r="F153" s="842"/>
      <c r="G153" s="817"/>
      <c r="H153" s="840">
        <f>'1. sz.mell. '!C156</f>
        <v>0</v>
      </c>
      <c r="I153" s="100"/>
      <c r="J153" s="100"/>
      <c r="K153" s="99"/>
    </row>
    <row r="154" spans="1:11" ht="12" customHeight="1" thickBot="1" x14ac:dyDescent="0.3">
      <c r="A154" s="17" t="s">
        <v>23</v>
      </c>
      <c r="B154" s="354" t="s">
        <v>430</v>
      </c>
      <c r="C154" s="824"/>
      <c r="D154" s="843"/>
      <c r="E154" s="844"/>
      <c r="F154" s="845"/>
      <c r="G154" s="846"/>
      <c r="H154" s="832">
        <f>'1. sz.mell. '!C157</f>
        <v>0</v>
      </c>
      <c r="I154" s="264"/>
      <c r="J154" s="118"/>
      <c r="K154" s="243"/>
    </row>
    <row r="155" spans="1:11" ht="12" customHeight="1" thickBot="1" x14ac:dyDescent="0.3">
      <c r="A155" s="17" t="s">
        <v>24</v>
      </c>
      <c r="B155" s="354" t="s">
        <v>431</v>
      </c>
      <c r="C155" s="824"/>
      <c r="D155" s="843"/>
      <c r="E155" s="844"/>
      <c r="F155" s="845"/>
      <c r="G155" s="846"/>
      <c r="H155" s="832">
        <f>'1. sz.mell. '!C158</f>
        <v>0</v>
      </c>
      <c r="I155" s="264"/>
      <c r="J155" s="118"/>
      <c r="K155" s="243"/>
    </row>
    <row r="156" spans="1:11" ht="15" customHeight="1" thickBot="1" x14ac:dyDescent="0.3">
      <c r="A156" s="17" t="s">
        <v>25</v>
      </c>
      <c r="B156" s="354" t="s">
        <v>432</v>
      </c>
      <c r="C156" s="811">
        <f>C132+C136+C143+C148+C154+C155</f>
        <v>892865928</v>
      </c>
      <c r="D156" s="811">
        <f>D132+D136+D143+D148+D154+D155</f>
        <v>1077458284</v>
      </c>
      <c r="E156" s="847"/>
      <c r="F156" s="848"/>
      <c r="G156" s="848"/>
      <c r="H156" s="832">
        <f>'1. sz.mell. '!C159</f>
        <v>1127804403</v>
      </c>
      <c r="I156" s="265">
        <f>+I132+I136+I143+I148+I154+I155</f>
        <v>158856832</v>
      </c>
      <c r="J156" s="189">
        <f>+J132+J136+J143+J148+J154+J155</f>
        <v>0</v>
      </c>
      <c r="K156" s="189">
        <f>+K132+K136+K143+K148+K154+K155</f>
        <v>0</v>
      </c>
    </row>
    <row r="157" spans="1:11" s="179" customFormat="1" ht="12.95" customHeight="1" thickBot="1" x14ac:dyDescent="0.25">
      <c r="A157" s="108" t="s">
        <v>26</v>
      </c>
      <c r="B157" s="357" t="s">
        <v>433</v>
      </c>
      <c r="C157" s="811">
        <f>C156+C131</f>
        <v>3529116870</v>
      </c>
      <c r="D157" s="811">
        <f>D156+D131</f>
        <v>4028563024</v>
      </c>
      <c r="E157" s="847"/>
      <c r="F157" s="848"/>
      <c r="G157" s="848"/>
      <c r="H157" s="832">
        <f>'1. sz.mell. '!C160</f>
        <v>8186535568</v>
      </c>
      <c r="I157" s="265">
        <f>+I131+I156</f>
        <v>1293098712</v>
      </c>
      <c r="J157" s="189">
        <f>+J131+J156</f>
        <v>227256857</v>
      </c>
      <c r="K157" s="189">
        <f>+K131+K156</f>
        <v>1626897847</v>
      </c>
    </row>
    <row r="161" ht="16.5" customHeight="1" x14ac:dyDescent="0.25"/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49"/>
  <sheetViews>
    <sheetView topLeftCell="A4" zoomScale="145" zoomScaleNormal="145" workbookViewId="0">
      <selection activeCell="I23" sqref="I23"/>
    </sheetView>
  </sheetViews>
  <sheetFormatPr defaultRowHeight="12.75" x14ac:dyDescent="0.2"/>
  <cols>
    <col min="1" max="1" width="6.83203125" style="69" customWidth="1"/>
    <col min="2" max="2" width="49.6640625" style="31" customWidth="1"/>
    <col min="3" max="3" width="12.83203125" style="304" customWidth="1"/>
    <col min="4" max="8" width="12.83203125" style="31" customWidth="1"/>
    <col min="9" max="9" width="13.83203125" style="31" customWidth="1"/>
    <col min="10" max="256" width="9.33203125" style="31"/>
    <col min="257" max="257" width="6.83203125" style="31" customWidth="1"/>
    <col min="258" max="258" width="49.6640625" style="31" customWidth="1"/>
    <col min="259" max="264" width="12.83203125" style="31" customWidth="1"/>
    <col min="265" max="265" width="13.83203125" style="31" customWidth="1"/>
    <col min="266" max="512" width="9.33203125" style="31"/>
    <col min="513" max="513" width="6.83203125" style="31" customWidth="1"/>
    <col min="514" max="514" width="49.6640625" style="31" customWidth="1"/>
    <col min="515" max="520" width="12.83203125" style="31" customWidth="1"/>
    <col min="521" max="521" width="13.83203125" style="31" customWidth="1"/>
    <col min="522" max="768" width="9.33203125" style="31"/>
    <col min="769" max="769" width="6.83203125" style="31" customWidth="1"/>
    <col min="770" max="770" width="49.6640625" style="31" customWidth="1"/>
    <col min="771" max="776" width="12.83203125" style="31" customWidth="1"/>
    <col min="777" max="777" width="13.83203125" style="31" customWidth="1"/>
    <col min="778" max="1024" width="9.33203125" style="31"/>
    <col min="1025" max="1025" width="6.83203125" style="31" customWidth="1"/>
    <col min="1026" max="1026" width="49.6640625" style="31" customWidth="1"/>
    <col min="1027" max="1032" width="12.83203125" style="31" customWidth="1"/>
    <col min="1033" max="1033" width="13.83203125" style="31" customWidth="1"/>
    <col min="1034" max="1280" width="9.33203125" style="31"/>
    <col min="1281" max="1281" width="6.83203125" style="31" customWidth="1"/>
    <col min="1282" max="1282" width="49.6640625" style="31" customWidth="1"/>
    <col min="1283" max="1288" width="12.83203125" style="31" customWidth="1"/>
    <col min="1289" max="1289" width="13.83203125" style="31" customWidth="1"/>
    <col min="1290" max="1536" width="9.33203125" style="31"/>
    <col min="1537" max="1537" width="6.83203125" style="31" customWidth="1"/>
    <col min="1538" max="1538" width="49.6640625" style="31" customWidth="1"/>
    <col min="1539" max="1544" width="12.83203125" style="31" customWidth="1"/>
    <col min="1545" max="1545" width="13.83203125" style="31" customWidth="1"/>
    <col min="1546" max="1792" width="9.33203125" style="31"/>
    <col min="1793" max="1793" width="6.83203125" style="31" customWidth="1"/>
    <col min="1794" max="1794" width="49.6640625" style="31" customWidth="1"/>
    <col min="1795" max="1800" width="12.83203125" style="31" customWidth="1"/>
    <col min="1801" max="1801" width="13.83203125" style="31" customWidth="1"/>
    <col min="1802" max="2048" width="9.33203125" style="31"/>
    <col min="2049" max="2049" width="6.83203125" style="31" customWidth="1"/>
    <col min="2050" max="2050" width="49.6640625" style="31" customWidth="1"/>
    <col min="2051" max="2056" width="12.83203125" style="31" customWidth="1"/>
    <col min="2057" max="2057" width="13.83203125" style="31" customWidth="1"/>
    <col min="2058" max="2304" width="9.33203125" style="31"/>
    <col min="2305" max="2305" width="6.83203125" style="31" customWidth="1"/>
    <col min="2306" max="2306" width="49.6640625" style="31" customWidth="1"/>
    <col min="2307" max="2312" width="12.83203125" style="31" customWidth="1"/>
    <col min="2313" max="2313" width="13.83203125" style="31" customWidth="1"/>
    <col min="2314" max="2560" width="9.33203125" style="31"/>
    <col min="2561" max="2561" width="6.83203125" style="31" customWidth="1"/>
    <col min="2562" max="2562" width="49.6640625" style="31" customWidth="1"/>
    <col min="2563" max="2568" width="12.83203125" style="31" customWidth="1"/>
    <col min="2569" max="2569" width="13.83203125" style="31" customWidth="1"/>
    <col min="2570" max="2816" width="9.33203125" style="31"/>
    <col min="2817" max="2817" width="6.83203125" style="31" customWidth="1"/>
    <col min="2818" max="2818" width="49.6640625" style="31" customWidth="1"/>
    <col min="2819" max="2824" width="12.83203125" style="31" customWidth="1"/>
    <col min="2825" max="2825" width="13.83203125" style="31" customWidth="1"/>
    <col min="2826" max="3072" width="9.33203125" style="31"/>
    <col min="3073" max="3073" width="6.83203125" style="31" customWidth="1"/>
    <col min="3074" max="3074" width="49.6640625" style="31" customWidth="1"/>
    <col min="3075" max="3080" width="12.83203125" style="31" customWidth="1"/>
    <col min="3081" max="3081" width="13.83203125" style="31" customWidth="1"/>
    <col min="3082" max="3328" width="9.33203125" style="31"/>
    <col min="3329" max="3329" width="6.83203125" style="31" customWidth="1"/>
    <col min="3330" max="3330" width="49.6640625" style="31" customWidth="1"/>
    <col min="3331" max="3336" width="12.83203125" style="31" customWidth="1"/>
    <col min="3337" max="3337" width="13.83203125" style="31" customWidth="1"/>
    <col min="3338" max="3584" width="9.33203125" style="31"/>
    <col min="3585" max="3585" width="6.83203125" style="31" customWidth="1"/>
    <col min="3586" max="3586" width="49.6640625" style="31" customWidth="1"/>
    <col min="3587" max="3592" width="12.83203125" style="31" customWidth="1"/>
    <col min="3593" max="3593" width="13.83203125" style="31" customWidth="1"/>
    <col min="3594" max="3840" width="9.33203125" style="31"/>
    <col min="3841" max="3841" width="6.83203125" style="31" customWidth="1"/>
    <col min="3842" max="3842" width="49.6640625" style="31" customWidth="1"/>
    <col min="3843" max="3848" width="12.83203125" style="31" customWidth="1"/>
    <col min="3849" max="3849" width="13.83203125" style="31" customWidth="1"/>
    <col min="3850" max="4096" width="9.33203125" style="31"/>
    <col min="4097" max="4097" width="6.83203125" style="31" customWidth="1"/>
    <col min="4098" max="4098" width="49.6640625" style="31" customWidth="1"/>
    <col min="4099" max="4104" width="12.83203125" style="31" customWidth="1"/>
    <col min="4105" max="4105" width="13.83203125" style="31" customWidth="1"/>
    <col min="4106" max="4352" width="9.33203125" style="31"/>
    <col min="4353" max="4353" width="6.83203125" style="31" customWidth="1"/>
    <col min="4354" max="4354" width="49.6640625" style="31" customWidth="1"/>
    <col min="4355" max="4360" width="12.83203125" style="31" customWidth="1"/>
    <col min="4361" max="4361" width="13.83203125" style="31" customWidth="1"/>
    <col min="4362" max="4608" width="9.33203125" style="31"/>
    <col min="4609" max="4609" width="6.83203125" style="31" customWidth="1"/>
    <col min="4610" max="4610" width="49.6640625" style="31" customWidth="1"/>
    <col min="4611" max="4616" width="12.83203125" style="31" customWidth="1"/>
    <col min="4617" max="4617" width="13.83203125" style="31" customWidth="1"/>
    <col min="4618" max="4864" width="9.33203125" style="31"/>
    <col min="4865" max="4865" width="6.83203125" style="31" customWidth="1"/>
    <col min="4866" max="4866" width="49.6640625" style="31" customWidth="1"/>
    <col min="4867" max="4872" width="12.83203125" style="31" customWidth="1"/>
    <col min="4873" max="4873" width="13.83203125" style="31" customWidth="1"/>
    <col min="4874" max="5120" width="9.33203125" style="31"/>
    <col min="5121" max="5121" width="6.83203125" style="31" customWidth="1"/>
    <col min="5122" max="5122" width="49.6640625" style="31" customWidth="1"/>
    <col min="5123" max="5128" width="12.83203125" style="31" customWidth="1"/>
    <col min="5129" max="5129" width="13.83203125" style="31" customWidth="1"/>
    <col min="5130" max="5376" width="9.33203125" style="31"/>
    <col min="5377" max="5377" width="6.83203125" style="31" customWidth="1"/>
    <col min="5378" max="5378" width="49.6640625" style="31" customWidth="1"/>
    <col min="5379" max="5384" width="12.83203125" style="31" customWidth="1"/>
    <col min="5385" max="5385" width="13.83203125" style="31" customWidth="1"/>
    <col min="5386" max="5632" width="9.33203125" style="31"/>
    <col min="5633" max="5633" width="6.83203125" style="31" customWidth="1"/>
    <col min="5634" max="5634" width="49.6640625" style="31" customWidth="1"/>
    <col min="5635" max="5640" width="12.83203125" style="31" customWidth="1"/>
    <col min="5641" max="5641" width="13.83203125" style="31" customWidth="1"/>
    <col min="5642" max="5888" width="9.33203125" style="31"/>
    <col min="5889" max="5889" width="6.83203125" style="31" customWidth="1"/>
    <col min="5890" max="5890" width="49.6640625" style="31" customWidth="1"/>
    <col min="5891" max="5896" width="12.83203125" style="31" customWidth="1"/>
    <col min="5897" max="5897" width="13.83203125" style="31" customWidth="1"/>
    <col min="5898" max="6144" width="9.33203125" style="31"/>
    <col min="6145" max="6145" width="6.83203125" style="31" customWidth="1"/>
    <col min="6146" max="6146" width="49.6640625" style="31" customWidth="1"/>
    <col min="6147" max="6152" width="12.83203125" style="31" customWidth="1"/>
    <col min="6153" max="6153" width="13.83203125" style="31" customWidth="1"/>
    <col min="6154" max="6400" width="9.33203125" style="31"/>
    <col min="6401" max="6401" width="6.83203125" style="31" customWidth="1"/>
    <col min="6402" max="6402" width="49.6640625" style="31" customWidth="1"/>
    <col min="6403" max="6408" width="12.83203125" style="31" customWidth="1"/>
    <col min="6409" max="6409" width="13.83203125" style="31" customWidth="1"/>
    <col min="6410" max="6656" width="9.33203125" style="31"/>
    <col min="6657" max="6657" width="6.83203125" style="31" customWidth="1"/>
    <col min="6658" max="6658" width="49.6640625" style="31" customWidth="1"/>
    <col min="6659" max="6664" width="12.83203125" style="31" customWidth="1"/>
    <col min="6665" max="6665" width="13.83203125" style="31" customWidth="1"/>
    <col min="6666" max="6912" width="9.33203125" style="31"/>
    <col min="6913" max="6913" width="6.83203125" style="31" customWidth="1"/>
    <col min="6914" max="6914" width="49.6640625" style="31" customWidth="1"/>
    <col min="6915" max="6920" width="12.83203125" style="31" customWidth="1"/>
    <col min="6921" max="6921" width="13.83203125" style="31" customWidth="1"/>
    <col min="6922" max="7168" width="9.33203125" style="31"/>
    <col min="7169" max="7169" width="6.83203125" style="31" customWidth="1"/>
    <col min="7170" max="7170" width="49.6640625" style="31" customWidth="1"/>
    <col min="7171" max="7176" width="12.83203125" style="31" customWidth="1"/>
    <col min="7177" max="7177" width="13.83203125" style="31" customWidth="1"/>
    <col min="7178" max="7424" width="9.33203125" style="31"/>
    <col min="7425" max="7425" width="6.83203125" style="31" customWidth="1"/>
    <col min="7426" max="7426" width="49.6640625" style="31" customWidth="1"/>
    <col min="7427" max="7432" width="12.83203125" style="31" customWidth="1"/>
    <col min="7433" max="7433" width="13.83203125" style="31" customWidth="1"/>
    <col min="7434" max="7680" width="9.33203125" style="31"/>
    <col min="7681" max="7681" width="6.83203125" style="31" customWidth="1"/>
    <col min="7682" max="7682" width="49.6640625" style="31" customWidth="1"/>
    <col min="7683" max="7688" width="12.83203125" style="31" customWidth="1"/>
    <col min="7689" max="7689" width="13.83203125" style="31" customWidth="1"/>
    <col min="7690" max="7936" width="9.33203125" style="31"/>
    <col min="7937" max="7937" width="6.83203125" style="31" customWidth="1"/>
    <col min="7938" max="7938" width="49.6640625" style="31" customWidth="1"/>
    <col min="7939" max="7944" width="12.83203125" style="31" customWidth="1"/>
    <col min="7945" max="7945" width="13.83203125" style="31" customWidth="1"/>
    <col min="7946" max="8192" width="9.33203125" style="31"/>
    <col min="8193" max="8193" width="6.83203125" style="31" customWidth="1"/>
    <col min="8194" max="8194" width="49.6640625" style="31" customWidth="1"/>
    <col min="8195" max="8200" width="12.83203125" style="31" customWidth="1"/>
    <col min="8201" max="8201" width="13.83203125" style="31" customWidth="1"/>
    <col min="8202" max="8448" width="9.33203125" style="31"/>
    <col min="8449" max="8449" width="6.83203125" style="31" customWidth="1"/>
    <col min="8450" max="8450" width="49.6640625" style="31" customWidth="1"/>
    <col min="8451" max="8456" width="12.83203125" style="31" customWidth="1"/>
    <col min="8457" max="8457" width="13.83203125" style="31" customWidth="1"/>
    <col min="8458" max="8704" width="9.33203125" style="31"/>
    <col min="8705" max="8705" width="6.83203125" style="31" customWidth="1"/>
    <col min="8706" max="8706" width="49.6640625" style="31" customWidth="1"/>
    <col min="8707" max="8712" width="12.83203125" style="31" customWidth="1"/>
    <col min="8713" max="8713" width="13.83203125" style="31" customWidth="1"/>
    <col min="8714" max="8960" width="9.33203125" style="31"/>
    <col min="8961" max="8961" width="6.83203125" style="31" customWidth="1"/>
    <col min="8962" max="8962" width="49.6640625" style="31" customWidth="1"/>
    <col min="8963" max="8968" width="12.83203125" style="31" customWidth="1"/>
    <col min="8969" max="8969" width="13.83203125" style="31" customWidth="1"/>
    <col min="8970" max="9216" width="9.33203125" style="31"/>
    <col min="9217" max="9217" width="6.83203125" style="31" customWidth="1"/>
    <col min="9218" max="9218" width="49.6640625" style="31" customWidth="1"/>
    <col min="9219" max="9224" width="12.83203125" style="31" customWidth="1"/>
    <col min="9225" max="9225" width="13.83203125" style="31" customWidth="1"/>
    <col min="9226" max="9472" width="9.33203125" style="31"/>
    <col min="9473" max="9473" width="6.83203125" style="31" customWidth="1"/>
    <col min="9474" max="9474" width="49.6640625" style="31" customWidth="1"/>
    <col min="9475" max="9480" width="12.83203125" style="31" customWidth="1"/>
    <col min="9481" max="9481" width="13.83203125" style="31" customWidth="1"/>
    <col min="9482" max="9728" width="9.33203125" style="31"/>
    <col min="9729" max="9729" width="6.83203125" style="31" customWidth="1"/>
    <col min="9730" max="9730" width="49.6640625" style="31" customWidth="1"/>
    <col min="9731" max="9736" width="12.83203125" style="31" customWidth="1"/>
    <col min="9737" max="9737" width="13.83203125" style="31" customWidth="1"/>
    <col min="9738" max="9984" width="9.33203125" style="31"/>
    <col min="9985" max="9985" width="6.83203125" style="31" customWidth="1"/>
    <col min="9986" max="9986" width="49.6640625" style="31" customWidth="1"/>
    <col min="9987" max="9992" width="12.83203125" style="31" customWidth="1"/>
    <col min="9993" max="9993" width="13.83203125" style="31" customWidth="1"/>
    <col min="9994" max="10240" width="9.33203125" style="31"/>
    <col min="10241" max="10241" width="6.83203125" style="31" customWidth="1"/>
    <col min="10242" max="10242" width="49.6640625" style="31" customWidth="1"/>
    <col min="10243" max="10248" width="12.83203125" style="31" customWidth="1"/>
    <col min="10249" max="10249" width="13.83203125" style="31" customWidth="1"/>
    <col min="10250" max="10496" width="9.33203125" style="31"/>
    <col min="10497" max="10497" width="6.83203125" style="31" customWidth="1"/>
    <col min="10498" max="10498" width="49.6640625" style="31" customWidth="1"/>
    <col min="10499" max="10504" width="12.83203125" style="31" customWidth="1"/>
    <col min="10505" max="10505" width="13.83203125" style="31" customWidth="1"/>
    <col min="10506" max="10752" width="9.33203125" style="31"/>
    <col min="10753" max="10753" width="6.83203125" style="31" customWidth="1"/>
    <col min="10754" max="10754" width="49.6640625" style="31" customWidth="1"/>
    <col min="10755" max="10760" width="12.83203125" style="31" customWidth="1"/>
    <col min="10761" max="10761" width="13.83203125" style="31" customWidth="1"/>
    <col min="10762" max="11008" width="9.33203125" style="31"/>
    <col min="11009" max="11009" width="6.83203125" style="31" customWidth="1"/>
    <col min="11010" max="11010" width="49.6640625" style="31" customWidth="1"/>
    <col min="11011" max="11016" width="12.83203125" style="31" customWidth="1"/>
    <col min="11017" max="11017" width="13.83203125" style="31" customWidth="1"/>
    <col min="11018" max="11264" width="9.33203125" style="31"/>
    <col min="11265" max="11265" width="6.83203125" style="31" customWidth="1"/>
    <col min="11266" max="11266" width="49.6640625" style="31" customWidth="1"/>
    <col min="11267" max="11272" width="12.83203125" style="31" customWidth="1"/>
    <col min="11273" max="11273" width="13.83203125" style="31" customWidth="1"/>
    <col min="11274" max="11520" width="9.33203125" style="31"/>
    <col min="11521" max="11521" width="6.83203125" style="31" customWidth="1"/>
    <col min="11522" max="11522" width="49.6640625" style="31" customWidth="1"/>
    <col min="11523" max="11528" width="12.83203125" style="31" customWidth="1"/>
    <col min="11529" max="11529" width="13.83203125" style="31" customWidth="1"/>
    <col min="11530" max="11776" width="9.33203125" style="31"/>
    <col min="11777" max="11777" width="6.83203125" style="31" customWidth="1"/>
    <col min="11778" max="11778" width="49.6640625" style="31" customWidth="1"/>
    <col min="11779" max="11784" width="12.83203125" style="31" customWidth="1"/>
    <col min="11785" max="11785" width="13.83203125" style="31" customWidth="1"/>
    <col min="11786" max="12032" width="9.33203125" style="31"/>
    <col min="12033" max="12033" width="6.83203125" style="31" customWidth="1"/>
    <col min="12034" max="12034" width="49.6640625" style="31" customWidth="1"/>
    <col min="12035" max="12040" width="12.83203125" style="31" customWidth="1"/>
    <col min="12041" max="12041" width="13.83203125" style="31" customWidth="1"/>
    <col min="12042" max="12288" width="9.33203125" style="31"/>
    <col min="12289" max="12289" width="6.83203125" style="31" customWidth="1"/>
    <col min="12290" max="12290" width="49.6640625" style="31" customWidth="1"/>
    <col min="12291" max="12296" width="12.83203125" style="31" customWidth="1"/>
    <col min="12297" max="12297" width="13.83203125" style="31" customWidth="1"/>
    <col min="12298" max="12544" width="9.33203125" style="31"/>
    <col min="12545" max="12545" width="6.83203125" style="31" customWidth="1"/>
    <col min="12546" max="12546" width="49.6640625" style="31" customWidth="1"/>
    <col min="12547" max="12552" width="12.83203125" style="31" customWidth="1"/>
    <col min="12553" max="12553" width="13.83203125" style="31" customWidth="1"/>
    <col min="12554" max="12800" width="9.33203125" style="31"/>
    <col min="12801" max="12801" width="6.83203125" style="31" customWidth="1"/>
    <col min="12802" max="12802" width="49.6640625" style="31" customWidth="1"/>
    <col min="12803" max="12808" width="12.83203125" style="31" customWidth="1"/>
    <col min="12809" max="12809" width="13.83203125" style="31" customWidth="1"/>
    <col min="12810" max="13056" width="9.33203125" style="31"/>
    <col min="13057" max="13057" width="6.83203125" style="31" customWidth="1"/>
    <col min="13058" max="13058" width="49.6640625" style="31" customWidth="1"/>
    <col min="13059" max="13064" width="12.83203125" style="31" customWidth="1"/>
    <col min="13065" max="13065" width="13.83203125" style="31" customWidth="1"/>
    <col min="13066" max="13312" width="9.33203125" style="31"/>
    <col min="13313" max="13313" width="6.83203125" style="31" customWidth="1"/>
    <col min="13314" max="13314" width="49.6640625" style="31" customWidth="1"/>
    <col min="13315" max="13320" width="12.83203125" style="31" customWidth="1"/>
    <col min="13321" max="13321" width="13.83203125" style="31" customWidth="1"/>
    <col min="13322" max="13568" width="9.33203125" style="31"/>
    <col min="13569" max="13569" width="6.83203125" style="31" customWidth="1"/>
    <col min="13570" max="13570" width="49.6640625" style="31" customWidth="1"/>
    <col min="13571" max="13576" width="12.83203125" style="31" customWidth="1"/>
    <col min="13577" max="13577" width="13.83203125" style="31" customWidth="1"/>
    <col min="13578" max="13824" width="9.33203125" style="31"/>
    <col min="13825" max="13825" width="6.83203125" style="31" customWidth="1"/>
    <col min="13826" max="13826" width="49.6640625" style="31" customWidth="1"/>
    <col min="13827" max="13832" width="12.83203125" style="31" customWidth="1"/>
    <col min="13833" max="13833" width="13.83203125" style="31" customWidth="1"/>
    <col min="13834" max="14080" width="9.33203125" style="31"/>
    <col min="14081" max="14081" width="6.83203125" style="31" customWidth="1"/>
    <col min="14082" max="14082" width="49.6640625" style="31" customWidth="1"/>
    <col min="14083" max="14088" width="12.83203125" style="31" customWidth="1"/>
    <col min="14089" max="14089" width="13.83203125" style="31" customWidth="1"/>
    <col min="14090" max="14336" width="9.33203125" style="31"/>
    <col min="14337" max="14337" width="6.83203125" style="31" customWidth="1"/>
    <col min="14338" max="14338" width="49.6640625" style="31" customWidth="1"/>
    <col min="14339" max="14344" width="12.83203125" style="31" customWidth="1"/>
    <col min="14345" max="14345" width="13.83203125" style="31" customWidth="1"/>
    <col min="14346" max="14592" width="9.33203125" style="31"/>
    <col min="14593" max="14593" width="6.83203125" style="31" customWidth="1"/>
    <col min="14594" max="14594" width="49.6640625" style="31" customWidth="1"/>
    <col min="14595" max="14600" width="12.83203125" style="31" customWidth="1"/>
    <col min="14601" max="14601" width="13.83203125" style="31" customWidth="1"/>
    <col min="14602" max="14848" width="9.33203125" style="31"/>
    <col min="14849" max="14849" width="6.83203125" style="31" customWidth="1"/>
    <col min="14850" max="14850" width="49.6640625" style="31" customWidth="1"/>
    <col min="14851" max="14856" width="12.83203125" style="31" customWidth="1"/>
    <col min="14857" max="14857" width="13.83203125" style="31" customWidth="1"/>
    <col min="14858" max="15104" width="9.33203125" style="31"/>
    <col min="15105" max="15105" width="6.83203125" style="31" customWidth="1"/>
    <col min="15106" max="15106" width="49.6640625" style="31" customWidth="1"/>
    <col min="15107" max="15112" width="12.83203125" style="31" customWidth="1"/>
    <col min="15113" max="15113" width="13.83203125" style="31" customWidth="1"/>
    <col min="15114" max="15360" width="9.33203125" style="31"/>
    <col min="15361" max="15361" width="6.83203125" style="31" customWidth="1"/>
    <col min="15362" max="15362" width="49.6640625" style="31" customWidth="1"/>
    <col min="15363" max="15368" width="12.83203125" style="31" customWidth="1"/>
    <col min="15369" max="15369" width="13.83203125" style="31" customWidth="1"/>
    <col min="15370" max="15616" width="9.33203125" style="31"/>
    <col min="15617" max="15617" width="6.83203125" style="31" customWidth="1"/>
    <col min="15618" max="15618" width="49.6640625" style="31" customWidth="1"/>
    <col min="15619" max="15624" width="12.83203125" style="31" customWidth="1"/>
    <col min="15625" max="15625" width="13.83203125" style="31" customWidth="1"/>
    <col min="15626" max="15872" width="9.33203125" style="31"/>
    <col min="15873" max="15873" width="6.83203125" style="31" customWidth="1"/>
    <col min="15874" max="15874" width="49.6640625" style="31" customWidth="1"/>
    <col min="15875" max="15880" width="12.83203125" style="31" customWidth="1"/>
    <col min="15881" max="15881" width="13.83203125" style="31" customWidth="1"/>
    <col min="15882" max="16128" width="9.33203125" style="31"/>
    <col min="16129" max="16129" width="6.83203125" style="31" customWidth="1"/>
    <col min="16130" max="16130" width="49.6640625" style="31" customWidth="1"/>
    <col min="16131" max="16136" width="12.83203125" style="31" customWidth="1"/>
    <col min="16137" max="16137" width="13.83203125" style="31" customWidth="1"/>
    <col min="16138" max="16384" width="9.33203125" style="31"/>
  </cols>
  <sheetData>
    <row r="1" spans="1:9" x14ac:dyDescent="0.2">
      <c r="A1" s="1418" t="str">
        <f>CONCATENATE("27. melléklet ",ALAPADATOK!A7," ",ALAPADATOK!B7," ",ALAPADATOK!C7," ",ALAPADATOK!D7," ",ALAPADATOK!E7," ",ALAPADATOK!F7," ",ALAPADATOK!G7," ",ALAPADATOK!H7)</f>
        <v>27. melléklet az 5 / 2022. ( II.24. ) önkormányzati rendelethez</v>
      </c>
      <c r="B1" s="1418"/>
      <c r="C1" s="1418"/>
      <c r="D1" s="1418"/>
      <c r="E1" s="1418"/>
      <c r="F1" s="1418"/>
      <c r="G1" s="1418"/>
      <c r="H1" s="1418"/>
      <c r="I1" s="1418"/>
    </row>
    <row r="2" spans="1:9" x14ac:dyDescent="0.2">
      <c r="G2" s="1418" t="s">
        <v>1022</v>
      </c>
      <c r="H2" s="1418"/>
      <c r="I2" s="1418"/>
    </row>
    <row r="3" spans="1:9" ht="27.75" customHeight="1" x14ac:dyDescent="0.2">
      <c r="A3" s="1419" t="s">
        <v>7</v>
      </c>
      <c r="B3" s="1419"/>
      <c r="C3" s="1419"/>
      <c r="D3" s="1419"/>
      <c r="E3" s="1419"/>
      <c r="F3" s="1419"/>
      <c r="G3" s="1419"/>
      <c r="H3" s="1419"/>
      <c r="I3" s="1419"/>
    </row>
    <row r="4" spans="1:9" ht="20.25" customHeight="1" thickBot="1" x14ac:dyDescent="0.3">
      <c r="B4" s="218"/>
      <c r="I4" s="219" t="s">
        <v>496</v>
      </c>
    </row>
    <row r="5" spans="1:9" s="220" customFormat="1" ht="22.5" customHeight="1" x14ac:dyDescent="0.2">
      <c r="A5" s="1420" t="s">
        <v>63</v>
      </c>
      <c r="B5" s="1422" t="s">
        <v>71</v>
      </c>
      <c r="C5" s="1420" t="s">
        <v>72</v>
      </c>
      <c r="D5" s="1420" t="s">
        <v>996</v>
      </c>
      <c r="E5" s="1424" t="s">
        <v>62</v>
      </c>
      <c r="F5" s="1425"/>
      <c r="G5" s="1425"/>
      <c r="H5" s="1426"/>
      <c r="I5" s="1422" t="s">
        <v>48</v>
      </c>
    </row>
    <row r="6" spans="1:9" s="221" customFormat="1" ht="17.25" customHeight="1" thickBot="1" x14ac:dyDescent="0.25">
      <c r="A6" s="1421"/>
      <c r="B6" s="1423"/>
      <c r="C6" s="1423"/>
      <c r="D6" s="1421"/>
      <c r="E6" s="686">
        <v>2022</v>
      </c>
      <c r="F6" s="686">
        <v>2023</v>
      </c>
      <c r="G6" s="686">
        <v>2024</v>
      </c>
      <c r="H6" s="687" t="s">
        <v>997</v>
      </c>
      <c r="I6" s="1423"/>
    </row>
    <row r="7" spans="1:9" s="222" customFormat="1" ht="18" customHeight="1" thickBot="1" x14ac:dyDescent="0.25">
      <c r="A7" s="688">
        <v>1</v>
      </c>
      <c r="B7" s="689">
        <v>2</v>
      </c>
      <c r="C7" s="690">
        <v>3</v>
      </c>
      <c r="D7" s="691">
        <v>4</v>
      </c>
      <c r="E7" s="688">
        <v>5</v>
      </c>
      <c r="F7" s="692">
        <v>6</v>
      </c>
      <c r="G7" s="692">
        <v>7</v>
      </c>
      <c r="H7" s="693">
        <v>8</v>
      </c>
      <c r="I7" s="694" t="s">
        <v>73</v>
      </c>
    </row>
    <row r="8" spans="1:9" ht="24.75" customHeight="1" thickBot="1" x14ac:dyDescent="0.25">
      <c r="A8" s="695" t="s">
        <v>16</v>
      </c>
      <c r="B8" s="696" t="s">
        <v>706</v>
      </c>
      <c r="C8" s="1109">
        <v>0</v>
      </c>
      <c r="D8" s="697">
        <v>0</v>
      </c>
      <c r="E8" s="697">
        <v>0</v>
      </c>
      <c r="F8" s="697">
        <v>0</v>
      </c>
      <c r="G8" s="697">
        <v>0</v>
      </c>
      <c r="H8" s="697">
        <v>0</v>
      </c>
      <c r="I8" s="698">
        <v>0</v>
      </c>
    </row>
    <row r="9" spans="1:9" ht="24.75" customHeight="1" thickBot="1" x14ac:dyDescent="0.25">
      <c r="A9" s="699" t="s">
        <v>17</v>
      </c>
      <c r="B9" s="700" t="s">
        <v>998</v>
      </c>
      <c r="C9" s="701">
        <v>2022</v>
      </c>
      <c r="D9" s="702">
        <v>0</v>
      </c>
      <c r="E9" s="702">
        <v>0</v>
      </c>
      <c r="F9" s="702">
        <v>0</v>
      </c>
      <c r="G9" s="702">
        <v>0</v>
      </c>
      <c r="H9" s="702">
        <v>0</v>
      </c>
      <c r="I9" s="698">
        <v>0</v>
      </c>
    </row>
    <row r="10" spans="1:9" ht="24" customHeight="1" thickBot="1" x14ac:dyDescent="0.25">
      <c r="A10" s="703" t="s">
        <v>18</v>
      </c>
      <c r="B10" s="704" t="s">
        <v>8</v>
      </c>
      <c r="C10" s="705"/>
      <c r="D10" s="706"/>
      <c r="E10" s="706"/>
      <c r="F10" s="706"/>
      <c r="G10" s="706"/>
      <c r="H10" s="707"/>
      <c r="I10" s="708"/>
    </row>
    <row r="11" spans="1:9" ht="22.5" x14ac:dyDescent="0.2">
      <c r="A11" s="709" t="s">
        <v>19</v>
      </c>
      <c r="B11" s="648" t="s">
        <v>497</v>
      </c>
      <c r="C11" s="710">
        <v>2016</v>
      </c>
      <c r="D11" s="711">
        <v>5888000</v>
      </c>
      <c r="E11" s="712">
        <v>1472000</v>
      </c>
      <c r="F11" s="712">
        <v>1472000</v>
      </c>
      <c r="G11" s="712">
        <v>1471000</v>
      </c>
      <c r="H11" s="713">
        <v>0</v>
      </c>
      <c r="I11" s="714">
        <f t="shared" ref="I11:I20" si="0">SUM(D11:H11)</f>
        <v>10303000</v>
      </c>
    </row>
    <row r="12" spans="1:9" x14ac:dyDescent="0.2">
      <c r="A12" s="709" t="s">
        <v>20</v>
      </c>
      <c r="B12" s="648" t="s">
        <v>707</v>
      </c>
      <c r="C12" s="710">
        <v>2017</v>
      </c>
      <c r="D12" s="711">
        <f>14820000</f>
        <v>14820000</v>
      </c>
      <c r="E12" s="711">
        <v>4940000</v>
      </c>
      <c r="F12" s="711">
        <v>4940000</v>
      </c>
      <c r="G12" s="711">
        <v>4940000</v>
      </c>
      <c r="H12" s="711">
        <v>11461155</v>
      </c>
      <c r="I12" s="714">
        <f t="shared" si="0"/>
        <v>41101155</v>
      </c>
    </row>
    <row r="13" spans="1:9" ht="22.5" x14ac:dyDescent="0.2">
      <c r="A13" s="709" t="s">
        <v>21</v>
      </c>
      <c r="B13" s="648" t="s">
        <v>501</v>
      </c>
      <c r="C13" s="710">
        <v>2017</v>
      </c>
      <c r="D13" s="711">
        <v>4392000</v>
      </c>
      <c r="E13" s="711">
        <v>1108000</v>
      </c>
      <c r="F13" s="711">
        <v>0</v>
      </c>
      <c r="G13" s="711">
        <v>0</v>
      </c>
      <c r="H13" s="711">
        <v>0</v>
      </c>
      <c r="I13" s="714">
        <f t="shared" si="0"/>
        <v>5500000</v>
      </c>
    </row>
    <row r="14" spans="1:9" x14ac:dyDescent="0.2">
      <c r="A14" s="709" t="s">
        <v>22</v>
      </c>
      <c r="B14" s="648" t="s">
        <v>506</v>
      </c>
      <c r="C14" s="710">
        <v>2018</v>
      </c>
      <c r="D14" s="649">
        <v>2460000</v>
      </c>
      <c r="E14" s="712">
        <v>741452</v>
      </c>
      <c r="F14" s="712">
        <v>0</v>
      </c>
      <c r="G14" s="712">
        <v>0</v>
      </c>
      <c r="H14" s="711">
        <v>0</v>
      </c>
      <c r="I14" s="714">
        <f t="shared" si="0"/>
        <v>3201452</v>
      </c>
    </row>
    <row r="15" spans="1:9" x14ac:dyDescent="0.2">
      <c r="A15" s="709" t="s">
        <v>23</v>
      </c>
      <c r="B15" s="648" t="s">
        <v>505</v>
      </c>
      <c r="C15" s="710">
        <v>2018</v>
      </c>
      <c r="D15" s="649">
        <v>2857500</v>
      </c>
      <c r="E15" s="712">
        <v>1270000</v>
      </c>
      <c r="F15" s="712">
        <v>741242</v>
      </c>
      <c r="G15" s="712">
        <v>0</v>
      </c>
      <c r="H15" s="711">
        <v>0</v>
      </c>
      <c r="I15" s="714">
        <f t="shared" si="0"/>
        <v>4868742</v>
      </c>
    </row>
    <row r="16" spans="1:9" ht="22.5" x14ac:dyDescent="0.2">
      <c r="A16" s="709" t="s">
        <v>24</v>
      </c>
      <c r="B16" s="648" t="s">
        <v>507</v>
      </c>
      <c r="C16" s="710">
        <v>2018</v>
      </c>
      <c r="D16" s="649">
        <v>4170000</v>
      </c>
      <c r="E16" s="712">
        <v>1668000</v>
      </c>
      <c r="F16" s="712">
        <v>1668000</v>
      </c>
      <c r="G16" s="712">
        <v>1668000</v>
      </c>
      <c r="H16" s="711">
        <v>721526</v>
      </c>
      <c r="I16" s="714">
        <f t="shared" si="0"/>
        <v>9895526</v>
      </c>
    </row>
    <row r="17" spans="1:10" x14ac:dyDescent="0.2">
      <c r="A17" s="709" t="s">
        <v>25</v>
      </c>
      <c r="B17" s="648" t="s">
        <v>508</v>
      </c>
      <c r="C17" s="710">
        <v>2018</v>
      </c>
      <c r="D17" s="711">
        <v>1834504</v>
      </c>
      <c r="E17" s="711">
        <v>1834504</v>
      </c>
      <c r="F17" s="711">
        <v>1834504</v>
      </c>
      <c r="G17" s="712">
        <v>1834504</v>
      </c>
      <c r="H17" s="711">
        <v>1704746</v>
      </c>
      <c r="I17" s="714">
        <f t="shared" si="0"/>
        <v>9042762</v>
      </c>
    </row>
    <row r="18" spans="1:10" x14ac:dyDescent="0.2">
      <c r="A18" s="709" t="s">
        <v>26</v>
      </c>
      <c r="B18" s="715" t="s">
        <v>584</v>
      </c>
      <c r="C18" s="716">
        <v>2018</v>
      </c>
      <c r="D18" s="717">
        <v>5555200</v>
      </c>
      <c r="E18" s="717">
        <v>2777600</v>
      </c>
      <c r="F18" s="717">
        <v>2777600</v>
      </c>
      <c r="G18" s="717">
        <v>2777600</v>
      </c>
      <c r="H18" s="717">
        <v>11112000</v>
      </c>
      <c r="I18" s="714">
        <f t="shared" si="0"/>
        <v>25000000</v>
      </c>
    </row>
    <row r="19" spans="1:10" ht="22.5" x14ac:dyDescent="0.2">
      <c r="A19" s="709" t="s">
        <v>27</v>
      </c>
      <c r="B19" s="721" t="s">
        <v>586</v>
      </c>
      <c r="C19" s="710">
        <v>2019</v>
      </c>
      <c r="D19" s="711">
        <v>4500000</v>
      </c>
      <c r="E19" s="711">
        <v>3600000</v>
      </c>
      <c r="F19" s="711">
        <v>3600000</v>
      </c>
      <c r="G19" s="711">
        <v>3600000</v>
      </c>
      <c r="H19" s="711">
        <v>2009597</v>
      </c>
      <c r="I19" s="722">
        <f>SUM(D19:H19)</f>
        <v>17309597</v>
      </c>
    </row>
    <row r="20" spans="1:10" x14ac:dyDescent="0.2">
      <c r="A20" s="709" t="s">
        <v>28</v>
      </c>
      <c r="B20" s="718" t="s">
        <v>585</v>
      </c>
      <c r="C20" s="719">
        <v>2019</v>
      </c>
      <c r="D20" s="720">
        <v>1524000</v>
      </c>
      <c r="E20" s="720">
        <v>1016000</v>
      </c>
      <c r="F20" s="720">
        <v>1016000</v>
      </c>
      <c r="G20" s="720">
        <v>453644</v>
      </c>
      <c r="H20" s="720">
        <v>0</v>
      </c>
      <c r="I20" s="714">
        <f t="shared" si="0"/>
        <v>4009644</v>
      </c>
    </row>
    <row r="21" spans="1:10" x14ac:dyDescent="0.2">
      <c r="A21" s="709" t="s">
        <v>29</v>
      </c>
      <c r="B21" s="872" t="s">
        <v>846</v>
      </c>
      <c r="C21" s="710">
        <v>2020</v>
      </c>
      <c r="D21" s="711">
        <v>0</v>
      </c>
      <c r="E21" s="711">
        <v>2300740</v>
      </c>
      <c r="F21" s="711">
        <v>2300740</v>
      </c>
      <c r="G21" s="711">
        <v>2300740</v>
      </c>
      <c r="H21" s="711">
        <v>4600561</v>
      </c>
      <c r="I21" s="722">
        <f>SUM(D21:H21)</f>
        <v>11502781</v>
      </c>
      <c r="J21" s="223"/>
    </row>
    <row r="22" spans="1:10" x14ac:dyDescent="0.2">
      <c r="A22" s="709" t="s">
        <v>30</v>
      </c>
      <c r="B22" s="872" t="s">
        <v>860</v>
      </c>
      <c r="C22" s="710">
        <v>2021</v>
      </c>
      <c r="D22" s="711">
        <v>0</v>
      </c>
      <c r="E22" s="711">
        <v>0</v>
      </c>
      <c r="F22" s="711">
        <v>1568620</v>
      </c>
      <c r="G22" s="711">
        <v>1568620</v>
      </c>
      <c r="H22" s="711">
        <v>3921584</v>
      </c>
      <c r="I22" s="722">
        <f>SUM(D22:H22)</f>
        <v>7058824</v>
      </c>
    </row>
    <row r="23" spans="1:10" ht="22.5" x14ac:dyDescent="0.2">
      <c r="A23" s="1111" t="s">
        <v>31</v>
      </c>
      <c r="B23" s="1108" t="s">
        <v>931</v>
      </c>
      <c r="C23" s="719">
        <v>2021</v>
      </c>
      <c r="D23" s="720">
        <v>0</v>
      </c>
      <c r="E23" s="720">
        <v>0</v>
      </c>
      <c r="F23" s="720">
        <v>0</v>
      </c>
      <c r="G23" s="1244">
        <v>12250000</v>
      </c>
      <c r="H23" s="1244">
        <f>122500000+12250000</f>
        <v>134750000</v>
      </c>
      <c r="I23" s="1243">
        <f>SUM(D23:H23)</f>
        <v>147000000</v>
      </c>
    </row>
    <row r="24" spans="1:10" ht="13.5" thickBot="1" x14ac:dyDescent="0.25">
      <c r="A24" s="1110" t="s">
        <v>32</v>
      </c>
      <c r="B24" s="872" t="s">
        <v>999</v>
      </c>
      <c r="C24" s="710">
        <v>2022</v>
      </c>
      <c r="D24" s="711">
        <v>0</v>
      </c>
      <c r="E24" s="711">
        <v>0</v>
      </c>
      <c r="F24" s="711">
        <v>0</v>
      </c>
      <c r="G24" s="711">
        <v>2280000</v>
      </c>
      <c r="H24" s="711">
        <v>11394426</v>
      </c>
      <c r="I24" s="722">
        <f>SUM(D24:H24)</f>
        <v>13674426</v>
      </c>
    </row>
    <row r="25" spans="1:10" ht="13.5" thickBot="1" x14ac:dyDescent="0.25">
      <c r="A25" s="1416" t="s">
        <v>49</v>
      </c>
      <c r="B25" s="1417"/>
      <c r="C25" s="723"/>
      <c r="D25" s="708">
        <f t="shared" ref="D25:I25" si="1">SUM(D11:D24)</f>
        <v>48001204</v>
      </c>
      <c r="E25" s="708">
        <f t="shared" si="1"/>
        <v>22728296</v>
      </c>
      <c r="F25" s="708">
        <f t="shared" si="1"/>
        <v>21918706</v>
      </c>
      <c r="G25" s="708">
        <f t="shared" si="1"/>
        <v>35144108</v>
      </c>
      <c r="H25" s="708">
        <f t="shared" si="1"/>
        <v>181675595</v>
      </c>
      <c r="I25" s="708">
        <f t="shared" si="1"/>
        <v>309467909</v>
      </c>
    </row>
    <row r="26" spans="1:10" ht="15" x14ac:dyDescent="0.25">
      <c r="B26" s="547" t="s">
        <v>847</v>
      </c>
      <c r="C26" s="547"/>
      <c r="D26" s="547"/>
      <c r="E26" s="547"/>
      <c r="F26" s="547"/>
      <c r="G26" s="547"/>
      <c r="H26" s="547"/>
    </row>
    <row r="28" spans="1:10" ht="15.75" x14ac:dyDescent="0.2">
      <c r="B28" s="379"/>
    </row>
    <row r="29" spans="1:10" ht="15.75" x14ac:dyDescent="0.2">
      <c r="B29" s="546"/>
      <c r="C29" s="548"/>
      <c r="D29" s="224"/>
      <c r="E29" s="224"/>
      <c r="F29" s="224"/>
      <c r="G29" s="224"/>
      <c r="H29" s="224"/>
    </row>
    <row r="30" spans="1:10" x14ac:dyDescent="0.2">
      <c r="B30" s="224"/>
      <c r="C30" s="549"/>
    </row>
    <row r="31" spans="1:10" x14ac:dyDescent="0.2">
      <c r="B31" s="224"/>
      <c r="C31" s="549"/>
    </row>
    <row r="32" spans="1:10" x14ac:dyDescent="0.2">
      <c r="B32" s="224"/>
      <c r="C32" s="550"/>
    </row>
    <row r="33" spans="2:4" x14ac:dyDescent="0.2">
      <c r="B33" s="735"/>
      <c r="C33" s="549"/>
    </row>
    <row r="34" spans="2:4" x14ac:dyDescent="0.2">
      <c r="B34" s="224"/>
      <c r="C34" s="549"/>
    </row>
    <row r="35" spans="2:4" x14ac:dyDescent="0.2">
      <c r="B35" s="224"/>
      <c r="C35" s="549"/>
    </row>
    <row r="36" spans="2:4" x14ac:dyDescent="0.2">
      <c r="B36" s="224"/>
      <c r="C36" s="549"/>
    </row>
    <row r="37" spans="2:4" x14ac:dyDescent="0.2">
      <c r="B37" s="224"/>
      <c r="C37" s="549"/>
    </row>
    <row r="38" spans="2:4" x14ac:dyDescent="0.2">
      <c r="B38" s="224"/>
      <c r="C38" s="549"/>
    </row>
    <row r="39" spans="2:4" ht="17.25" customHeight="1" x14ac:dyDescent="0.2">
      <c r="B39" s="225"/>
      <c r="C39" s="550"/>
    </row>
    <row r="40" spans="2:4" x14ac:dyDescent="0.2">
      <c r="B40" s="224"/>
    </row>
    <row r="41" spans="2:4" x14ac:dyDescent="0.2">
      <c r="B41" s="226"/>
      <c r="C41" s="550"/>
    </row>
    <row r="42" spans="2:4" x14ac:dyDescent="0.2">
      <c r="C42" s="549"/>
      <c r="D42" s="69"/>
    </row>
    <row r="43" spans="2:4" x14ac:dyDescent="0.2">
      <c r="C43" s="549"/>
      <c r="D43" s="69"/>
    </row>
    <row r="44" spans="2:4" x14ac:dyDescent="0.2">
      <c r="C44" s="549"/>
      <c r="D44" s="69"/>
    </row>
    <row r="46" spans="2:4" x14ac:dyDescent="0.2">
      <c r="B46" s="226"/>
      <c r="C46" s="550"/>
    </row>
    <row r="47" spans="2:4" x14ac:dyDescent="0.2">
      <c r="D47" s="69"/>
    </row>
    <row r="48" spans="2:4" x14ac:dyDescent="0.2">
      <c r="D48" s="69"/>
    </row>
    <row r="49" spans="4:4" x14ac:dyDescent="0.2">
      <c r="D49" s="69"/>
    </row>
  </sheetData>
  <mergeCells count="10">
    <mergeCell ref="A25:B25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N167"/>
  <sheetViews>
    <sheetView topLeftCell="B1" zoomScaleNormal="100" zoomScaleSheetLayoutView="100" workbookViewId="0">
      <selection activeCell="D1" sqref="D1:I1048576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282" customWidth="1"/>
    <col min="4" max="4" width="19.33203125" style="167" hidden="1" customWidth="1"/>
    <col min="5" max="8" width="15.83203125" style="167" hidden="1" customWidth="1"/>
    <col min="9" max="9" width="15.33203125" style="167" hidden="1" customWidth="1"/>
    <col min="10" max="12" width="9.33203125" style="167" customWidth="1"/>
    <col min="13" max="16384" width="9.33203125" style="167"/>
  </cols>
  <sheetData>
    <row r="1" spans="1:9" x14ac:dyDescent="0.25">
      <c r="A1" s="1326" t="str">
        <f>CONCATENATE("3. melléklet"," ",ALAPADATOK!A7," ",ALAPADATOK!B7," ",ALAPADATOK!C7," ",ALAPADATOK!D8," ",ALAPADATOK!E7," ",ALAPADATOK!F7," ",ALAPADATOK!G7," ",ALAPADATOK!H7)</f>
        <v>3. melléklet az 5 / 2023. ( II.24. ) önkormányzati rendelethez</v>
      </c>
      <c r="B1" s="1326"/>
      <c r="C1" s="1326"/>
    </row>
    <row r="2" spans="1:9" x14ac:dyDescent="0.25">
      <c r="A2" s="612"/>
      <c r="B2" s="612"/>
      <c r="C2" s="612"/>
    </row>
    <row r="3" spans="1:9" x14ac:dyDescent="0.25">
      <c r="A3" s="1325" t="str">
        <f>CONCATENATE(ALAPADATOK!A3)</f>
        <v>Tiszavasvári Város Önkormányzat</v>
      </c>
      <c r="B3" s="1325"/>
      <c r="C3" s="1325"/>
    </row>
    <row r="4" spans="1:9" x14ac:dyDescent="0.25">
      <c r="A4" s="1324" t="str">
        <f>CONCATENATE(ALAPADATOK!D7," ÉVI KÖLTSÉGVETÉS")</f>
        <v>2022. ÉVI KÖLTSÉGVETÉS</v>
      </c>
      <c r="B4" s="1324"/>
      <c r="C4" s="1324"/>
    </row>
    <row r="5" spans="1:9" x14ac:dyDescent="0.25">
      <c r="A5" s="1324" t="s">
        <v>678</v>
      </c>
      <c r="B5" s="1324"/>
      <c r="C5" s="1324"/>
    </row>
    <row r="7" spans="1:9" ht="15.95" customHeight="1" x14ac:dyDescent="0.25">
      <c r="A7" s="1328" t="s">
        <v>13</v>
      </c>
      <c r="B7" s="1328"/>
      <c r="C7" s="1328"/>
    </row>
    <row r="8" spans="1:9" ht="15.95" customHeight="1" thickBot="1" x14ac:dyDescent="0.3">
      <c r="A8" s="1330"/>
      <c r="B8" s="1330"/>
      <c r="C8" s="119" t="s">
        <v>487</v>
      </c>
    </row>
    <row r="9" spans="1:9" ht="38.1" customHeight="1" thickBot="1" x14ac:dyDescent="0.3">
      <c r="A9" s="20" t="s">
        <v>63</v>
      </c>
      <c r="B9" s="21" t="s">
        <v>15</v>
      </c>
      <c r="C9" s="29" t="s">
        <v>944</v>
      </c>
      <c r="D9" s="167" t="s">
        <v>492</v>
      </c>
      <c r="E9" s="167" t="s">
        <v>493</v>
      </c>
      <c r="F9" s="167" t="s">
        <v>940</v>
      </c>
      <c r="G9" s="167" t="s">
        <v>941</v>
      </c>
      <c r="H9" s="167" t="s">
        <v>942</v>
      </c>
      <c r="I9" s="167" t="s">
        <v>943</v>
      </c>
    </row>
    <row r="10" spans="1:9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9" s="179" customFormat="1" ht="12" customHeight="1" thickBot="1" x14ac:dyDescent="0.25">
      <c r="A11" s="17" t="s">
        <v>16</v>
      </c>
      <c r="B11" s="18" t="s">
        <v>179</v>
      </c>
      <c r="C11" s="110">
        <f t="shared" ref="C11:C75" si="0">SUM(D11:I11)</f>
        <v>395209158</v>
      </c>
      <c r="D11" s="257">
        <f t="shared" ref="D11:I11" si="1">+D12+D13+D14+D17+D18+D19</f>
        <v>395209158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" customHeight="1" x14ac:dyDescent="0.2">
      <c r="A12" s="12" t="s">
        <v>85</v>
      </c>
      <c r="B12" s="180" t="s">
        <v>180</v>
      </c>
      <c r="C12" s="176">
        <f t="shared" si="0"/>
        <v>0</v>
      </c>
      <c r="D12" s="214"/>
      <c r="E12" s="214"/>
      <c r="F12" s="214"/>
      <c r="G12" s="214"/>
      <c r="H12" s="214"/>
      <c r="I12" s="214"/>
    </row>
    <row r="13" spans="1:9" s="179" customFormat="1" ht="12" customHeight="1" x14ac:dyDescent="0.2">
      <c r="A13" s="11" t="s">
        <v>86</v>
      </c>
      <c r="B13" s="181" t="s">
        <v>181</v>
      </c>
      <c r="C13" s="279">
        <f t="shared" si="0"/>
        <v>0</v>
      </c>
      <c r="D13" s="114"/>
      <c r="E13" s="114"/>
      <c r="F13" s="114"/>
      <c r="G13" s="114"/>
      <c r="H13" s="114"/>
      <c r="I13" s="114"/>
    </row>
    <row r="14" spans="1:9" s="179" customFormat="1" ht="12" customHeight="1" x14ac:dyDescent="0.2">
      <c r="A14" s="11" t="s">
        <v>87</v>
      </c>
      <c r="B14" s="181" t="s">
        <v>719</v>
      </c>
      <c r="C14" s="276">
        <f t="shared" si="0"/>
        <v>395209158</v>
      </c>
      <c r="D14" s="114">
        <f t="shared" ref="D14:I14" si="2">SUM(D15:D16)</f>
        <v>395209158</v>
      </c>
      <c r="E14" s="114">
        <f t="shared" si="2"/>
        <v>0</v>
      </c>
      <c r="F14" s="114">
        <f t="shared" si="2"/>
        <v>0</v>
      </c>
      <c r="G14" s="114">
        <f t="shared" si="2"/>
        <v>0</v>
      </c>
      <c r="H14" s="114">
        <f t="shared" si="2"/>
        <v>0</v>
      </c>
      <c r="I14" s="114">
        <f t="shared" si="2"/>
        <v>0</v>
      </c>
    </row>
    <row r="15" spans="1:9" s="179" customFormat="1" ht="12" customHeight="1" x14ac:dyDescent="0.2">
      <c r="A15" s="11" t="s">
        <v>717</v>
      </c>
      <c r="B15" s="181" t="s">
        <v>720</v>
      </c>
      <c r="C15" s="666">
        <f t="shared" si="0"/>
        <v>395209158</v>
      </c>
      <c r="D15" s="114">
        <f>372765129+15394000+17106000-10055971</f>
        <v>395209158</v>
      </c>
      <c r="E15" s="114"/>
      <c r="F15" s="114"/>
      <c r="G15" s="114"/>
      <c r="H15" s="114"/>
      <c r="I15" s="114"/>
    </row>
    <row r="16" spans="1:9" s="179" customFormat="1" ht="12" customHeight="1" x14ac:dyDescent="0.2">
      <c r="A16" s="11" t="s">
        <v>718</v>
      </c>
      <c r="B16" s="181" t="s">
        <v>721</v>
      </c>
      <c r="C16" s="279">
        <f t="shared" si="0"/>
        <v>0</v>
      </c>
      <c r="D16" s="114"/>
      <c r="E16" s="114"/>
      <c r="F16" s="114"/>
      <c r="G16" s="114"/>
      <c r="H16" s="114"/>
      <c r="I16" s="114"/>
    </row>
    <row r="17" spans="1:9" s="179" customFormat="1" ht="12" customHeight="1" x14ac:dyDescent="0.2">
      <c r="A17" s="11" t="s">
        <v>88</v>
      </c>
      <c r="B17" s="181" t="s">
        <v>183</v>
      </c>
      <c r="C17" s="279">
        <f t="shared" si="0"/>
        <v>0</v>
      </c>
      <c r="D17" s="114"/>
      <c r="E17" s="114"/>
      <c r="F17" s="114"/>
      <c r="G17" s="114"/>
      <c r="H17" s="114"/>
      <c r="I17" s="114"/>
    </row>
    <row r="18" spans="1:9" s="179" customFormat="1" ht="12" customHeight="1" x14ac:dyDescent="0.2">
      <c r="A18" s="11" t="s">
        <v>111</v>
      </c>
      <c r="B18" s="106" t="s">
        <v>388</v>
      </c>
      <c r="C18" s="279">
        <f t="shared" si="0"/>
        <v>0</v>
      </c>
      <c r="D18" s="114"/>
      <c r="E18" s="114"/>
      <c r="F18" s="114"/>
      <c r="G18" s="114"/>
      <c r="H18" s="114"/>
      <c r="I18" s="114"/>
    </row>
    <row r="19" spans="1:9" s="179" customFormat="1" ht="12" customHeight="1" thickBot="1" x14ac:dyDescent="0.25">
      <c r="A19" s="13" t="s">
        <v>89</v>
      </c>
      <c r="B19" s="107" t="s">
        <v>389</v>
      </c>
      <c r="C19" s="280">
        <f t="shared" si="0"/>
        <v>0</v>
      </c>
      <c r="D19" s="99"/>
      <c r="E19" s="111"/>
      <c r="F19" s="111"/>
      <c r="G19" s="111"/>
      <c r="H19" s="111"/>
      <c r="I19" s="111"/>
    </row>
    <row r="20" spans="1:9" s="179" customFormat="1" ht="12" customHeight="1" thickBot="1" x14ac:dyDescent="0.25">
      <c r="A20" s="17" t="s">
        <v>17</v>
      </c>
      <c r="B20" s="105" t="s">
        <v>184</v>
      </c>
      <c r="C20" s="110">
        <f t="shared" si="0"/>
        <v>283358950</v>
      </c>
      <c r="D20" s="257">
        <f t="shared" ref="D20:I20" si="3">+D21+D22+D23+D24+D25</f>
        <v>232256170</v>
      </c>
      <c r="E20" s="110">
        <f t="shared" si="3"/>
        <v>0</v>
      </c>
      <c r="F20" s="110">
        <f t="shared" si="3"/>
        <v>0</v>
      </c>
      <c r="G20" s="110">
        <f t="shared" si="3"/>
        <v>0</v>
      </c>
      <c r="H20" s="110">
        <f t="shared" si="3"/>
        <v>0</v>
      </c>
      <c r="I20" s="110">
        <f t="shared" si="3"/>
        <v>51102780</v>
      </c>
    </row>
    <row r="21" spans="1:9" s="179" customFormat="1" ht="12" customHeight="1" x14ac:dyDescent="0.2">
      <c r="A21" s="12" t="s">
        <v>91</v>
      </c>
      <c r="B21" s="180" t="s">
        <v>185</v>
      </c>
      <c r="C21" s="176">
        <f t="shared" si="0"/>
        <v>0</v>
      </c>
      <c r="D21" s="258"/>
      <c r="E21" s="112"/>
      <c r="F21" s="112"/>
      <c r="G21" s="112"/>
      <c r="H21" s="112"/>
      <c r="I21" s="112"/>
    </row>
    <row r="22" spans="1:9" s="179" customFormat="1" ht="12" customHeight="1" x14ac:dyDescent="0.2">
      <c r="A22" s="11" t="s">
        <v>92</v>
      </c>
      <c r="B22" s="181" t="s">
        <v>186</v>
      </c>
      <c r="C22" s="279">
        <f t="shared" si="0"/>
        <v>0</v>
      </c>
      <c r="D22" s="99"/>
      <c r="E22" s="111"/>
      <c r="F22" s="111"/>
      <c r="G22" s="111"/>
      <c r="H22" s="111"/>
      <c r="I22" s="111"/>
    </row>
    <row r="23" spans="1:9" s="179" customFormat="1" ht="12" customHeight="1" x14ac:dyDescent="0.2">
      <c r="A23" s="11" t="s">
        <v>93</v>
      </c>
      <c r="B23" s="181" t="s">
        <v>352</v>
      </c>
      <c r="C23" s="279">
        <f t="shared" si="0"/>
        <v>0</v>
      </c>
      <c r="D23" s="99"/>
      <c r="E23" s="111"/>
      <c r="F23" s="111"/>
      <c r="G23" s="111"/>
      <c r="H23" s="111"/>
      <c r="I23" s="111"/>
    </row>
    <row r="24" spans="1:9" s="179" customFormat="1" ht="12" customHeight="1" x14ac:dyDescent="0.2">
      <c r="A24" s="11" t="s">
        <v>94</v>
      </c>
      <c r="B24" s="181" t="s">
        <v>353</v>
      </c>
      <c r="C24" s="279">
        <f t="shared" si="0"/>
        <v>0</v>
      </c>
      <c r="D24" s="99"/>
      <c r="E24" s="111"/>
      <c r="F24" s="111"/>
      <c r="G24" s="111"/>
      <c r="H24" s="111"/>
      <c r="I24" s="111"/>
    </row>
    <row r="25" spans="1:9" s="179" customFormat="1" ht="12" customHeight="1" x14ac:dyDescent="0.2">
      <c r="A25" s="11" t="s">
        <v>95</v>
      </c>
      <c r="B25" s="181" t="s">
        <v>187</v>
      </c>
      <c r="C25" s="666">
        <f t="shared" si="0"/>
        <v>283358950</v>
      </c>
      <c r="D25" s="248">
        <f>126028453+5000000+46710000+958699+21987230+31571788</f>
        <v>232256170</v>
      </c>
      <c r="E25" s="114"/>
      <c r="F25" s="114"/>
      <c r="G25" s="114"/>
      <c r="H25" s="114"/>
      <c r="I25" s="114">
        <v>51102780</v>
      </c>
    </row>
    <row r="26" spans="1:9" s="179" customFormat="1" ht="12" customHeight="1" thickBot="1" x14ac:dyDescent="0.25">
      <c r="A26" s="13" t="s">
        <v>104</v>
      </c>
      <c r="B26" s="107" t="s">
        <v>188</v>
      </c>
      <c r="C26" s="669">
        <f t="shared" si="0"/>
        <v>0</v>
      </c>
      <c r="D26" s="251"/>
      <c r="E26" s="170"/>
      <c r="F26" s="170"/>
      <c r="G26" s="170"/>
      <c r="H26" s="170"/>
      <c r="I26" s="170"/>
    </row>
    <row r="27" spans="1:9" s="179" customFormat="1" ht="12" customHeight="1" thickBot="1" x14ac:dyDescent="0.25">
      <c r="A27" s="17" t="s">
        <v>18</v>
      </c>
      <c r="B27" s="18" t="s">
        <v>189</v>
      </c>
      <c r="C27" s="110">
        <f t="shared" si="0"/>
        <v>23150990</v>
      </c>
      <c r="D27" s="257">
        <f t="shared" ref="D27:I27" si="4">+D28+D29+D30+D31+D32</f>
        <v>4290000</v>
      </c>
      <c r="E27" s="110">
        <f t="shared" si="4"/>
        <v>0</v>
      </c>
      <c r="F27" s="110">
        <f t="shared" si="4"/>
        <v>0</v>
      </c>
      <c r="G27" s="110">
        <f t="shared" si="4"/>
        <v>0</v>
      </c>
      <c r="H27" s="110">
        <f t="shared" si="4"/>
        <v>0</v>
      </c>
      <c r="I27" s="110">
        <f t="shared" si="4"/>
        <v>18860990</v>
      </c>
    </row>
    <row r="28" spans="1:9" s="179" customFormat="1" ht="12" customHeight="1" x14ac:dyDescent="0.2">
      <c r="A28" s="12" t="s">
        <v>74</v>
      </c>
      <c r="B28" s="180" t="s">
        <v>190</v>
      </c>
      <c r="C28" s="275">
        <f t="shared" si="0"/>
        <v>0</v>
      </c>
      <c r="D28" s="677"/>
      <c r="E28" s="468"/>
      <c r="F28" s="468"/>
      <c r="G28" s="468"/>
      <c r="H28" s="468"/>
      <c r="I28" s="468"/>
    </row>
    <row r="29" spans="1:9" s="179" customFormat="1" ht="12" customHeight="1" x14ac:dyDescent="0.2">
      <c r="A29" s="11" t="s">
        <v>75</v>
      </c>
      <c r="B29" s="181" t="s">
        <v>191</v>
      </c>
      <c r="C29" s="279">
        <f t="shared" si="0"/>
        <v>0</v>
      </c>
      <c r="D29" s="248"/>
      <c r="E29" s="114"/>
      <c r="F29" s="114"/>
      <c r="G29" s="114"/>
      <c r="H29" s="114"/>
      <c r="I29" s="114"/>
    </row>
    <row r="30" spans="1:9" s="179" customFormat="1" ht="12" customHeight="1" x14ac:dyDescent="0.2">
      <c r="A30" s="11" t="s">
        <v>76</v>
      </c>
      <c r="B30" s="181" t="s">
        <v>354</v>
      </c>
      <c r="C30" s="279">
        <f t="shared" si="0"/>
        <v>0</v>
      </c>
      <c r="D30" s="248"/>
      <c r="E30" s="114"/>
      <c r="F30" s="114"/>
      <c r="G30" s="114"/>
      <c r="H30" s="114"/>
      <c r="I30" s="114"/>
    </row>
    <row r="31" spans="1:9" s="179" customFormat="1" ht="12" customHeight="1" x14ac:dyDescent="0.2">
      <c r="A31" s="11" t="s">
        <v>77</v>
      </c>
      <c r="B31" s="181" t="s">
        <v>355</v>
      </c>
      <c r="C31" s="279">
        <f t="shared" si="0"/>
        <v>0</v>
      </c>
      <c r="D31" s="248"/>
      <c r="E31" s="114"/>
      <c r="F31" s="114"/>
      <c r="G31" s="114"/>
      <c r="H31" s="114"/>
      <c r="I31" s="114"/>
    </row>
    <row r="32" spans="1:9" s="179" customFormat="1" ht="12" customHeight="1" x14ac:dyDescent="0.2">
      <c r="A32" s="11" t="s">
        <v>122</v>
      </c>
      <c r="B32" s="181" t="s">
        <v>192</v>
      </c>
      <c r="C32" s="276">
        <f t="shared" si="0"/>
        <v>23150990</v>
      </c>
      <c r="D32" s="248">
        <v>4290000</v>
      </c>
      <c r="E32" s="114"/>
      <c r="F32" s="114"/>
      <c r="G32" s="114"/>
      <c r="H32" s="114"/>
      <c r="I32" s="114">
        <v>18860990</v>
      </c>
    </row>
    <row r="33" spans="1:14" s="179" customFormat="1" ht="12" customHeight="1" thickBot="1" x14ac:dyDescent="0.25">
      <c r="A33" s="13" t="s">
        <v>123</v>
      </c>
      <c r="B33" s="182" t="s">
        <v>193</v>
      </c>
      <c r="C33" s="669">
        <f t="shared" si="0"/>
        <v>0</v>
      </c>
      <c r="D33" s="251"/>
      <c r="E33" s="170"/>
      <c r="F33" s="170"/>
      <c r="G33" s="170"/>
      <c r="H33" s="170"/>
      <c r="I33" s="170"/>
    </row>
    <row r="34" spans="1:14" s="179" customFormat="1" ht="12" customHeight="1" thickBot="1" x14ac:dyDescent="0.25">
      <c r="A34" s="17" t="s">
        <v>124</v>
      </c>
      <c r="B34" s="18" t="s">
        <v>194</v>
      </c>
      <c r="C34" s="281">
        <f t="shared" si="0"/>
        <v>0</v>
      </c>
      <c r="D34" s="259">
        <f t="shared" ref="D34:I34" si="5">+D35++D39+D40</f>
        <v>0</v>
      </c>
      <c r="E34" s="259">
        <f t="shared" si="5"/>
        <v>0</v>
      </c>
      <c r="F34" s="259">
        <f t="shared" si="5"/>
        <v>0</v>
      </c>
      <c r="G34" s="259">
        <f t="shared" si="5"/>
        <v>0</v>
      </c>
      <c r="H34" s="259">
        <f t="shared" si="5"/>
        <v>0</v>
      </c>
      <c r="I34" s="259">
        <f t="shared" si="5"/>
        <v>0</v>
      </c>
      <c r="N34" s="736"/>
    </row>
    <row r="35" spans="1:14" s="179" customFormat="1" ht="12" customHeight="1" x14ac:dyDescent="0.2">
      <c r="A35" s="12" t="s">
        <v>195</v>
      </c>
      <c r="B35" s="180" t="s">
        <v>562</v>
      </c>
      <c r="C35" s="176">
        <f t="shared" si="0"/>
        <v>0</v>
      </c>
      <c r="D35" s="271">
        <f t="shared" ref="D35:I35" si="6">SUM(D36:D37)</f>
        <v>0</v>
      </c>
      <c r="E35" s="271">
        <f t="shared" si="6"/>
        <v>0</v>
      </c>
      <c r="F35" s="271">
        <f t="shared" si="6"/>
        <v>0</v>
      </c>
      <c r="G35" s="271">
        <f t="shared" si="6"/>
        <v>0</v>
      </c>
      <c r="H35" s="271">
        <f t="shared" si="6"/>
        <v>0</v>
      </c>
      <c r="I35" s="271">
        <f t="shared" si="6"/>
        <v>0</v>
      </c>
    </row>
    <row r="36" spans="1:14" s="179" customFormat="1" ht="12" customHeight="1" x14ac:dyDescent="0.2">
      <c r="A36" s="11" t="s">
        <v>196</v>
      </c>
      <c r="B36" s="181" t="s">
        <v>201</v>
      </c>
      <c r="C36" s="279">
        <f t="shared" si="0"/>
        <v>0</v>
      </c>
      <c r="D36" s="99"/>
      <c r="E36" s="111"/>
      <c r="F36" s="111"/>
      <c r="G36" s="111"/>
      <c r="H36" s="111"/>
      <c r="I36" s="111"/>
    </row>
    <row r="37" spans="1:14" s="179" customFormat="1" ht="12" customHeight="1" x14ac:dyDescent="0.2">
      <c r="A37" s="11" t="s">
        <v>197</v>
      </c>
      <c r="B37" s="234" t="s">
        <v>561</v>
      </c>
      <c r="C37" s="279">
        <f t="shared" si="0"/>
        <v>0</v>
      </c>
      <c r="D37" s="99"/>
      <c r="E37" s="111"/>
      <c r="F37" s="111"/>
      <c r="G37" s="111"/>
      <c r="H37" s="111"/>
      <c r="I37" s="111"/>
    </row>
    <row r="38" spans="1:14" s="179" customFormat="1" ht="12" customHeight="1" x14ac:dyDescent="0.2">
      <c r="A38" s="11" t="s">
        <v>198</v>
      </c>
      <c r="B38" s="181" t="s">
        <v>472</v>
      </c>
      <c r="C38" s="279">
        <f t="shared" si="0"/>
        <v>0</v>
      </c>
      <c r="D38" s="248"/>
      <c r="E38" s="114"/>
      <c r="F38" s="114"/>
      <c r="G38" s="114"/>
      <c r="H38" s="114"/>
      <c r="I38" s="114"/>
    </row>
    <row r="39" spans="1:14" s="179" customFormat="1" ht="12" customHeight="1" x14ac:dyDescent="0.2">
      <c r="A39" s="11" t="s">
        <v>200</v>
      </c>
      <c r="B39" s="181" t="s">
        <v>203</v>
      </c>
      <c r="C39" s="279">
        <f t="shared" si="0"/>
        <v>0</v>
      </c>
      <c r="D39" s="99"/>
      <c r="E39" s="111"/>
      <c r="F39" s="111"/>
      <c r="G39" s="111"/>
      <c r="H39" s="111"/>
      <c r="I39" s="111"/>
    </row>
    <row r="40" spans="1:14" s="179" customFormat="1" ht="12" customHeight="1" thickBot="1" x14ac:dyDescent="0.25">
      <c r="A40" s="13" t="s">
        <v>474</v>
      </c>
      <c r="B40" s="182" t="s">
        <v>204</v>
      </c>
      <c r="C40" s="280">
        <f t="shared" si="0"/>
        <v>0</v>
      </c>
      <c r="D40" s="251"/>
      <c r="E40" s="170"/>
      <c r="F40" s="170"/>
      <c r="G40" s="170"/>
      <c r="H40" s="170"/>
      <c r="I40" s="170"/>
    </row>
    <row r="41" spans="1:14" s="179" customFormat="1" ht="12" customHeight="1" thickBot="1" x14ac:dyDescent="0.25">
      <c r="A41" s="17" t="s">
        <v>20</v>
      </c>
      <c r="B41" s="18" t="s">
        <v>390</v>
      </c>
      <c r="C41" s="110">
        <f t="shared" si="0"/>
        <v>212627007</v>
      </c>
      <c r="D41" s="257">
        <f t="shared" ref="D41:I41" si="7">SUM(D42:D52)</f>
        <v>31846157</v>
      </c>
      <c r="E41" s="110">
        <f t="shared" si="7"/>
        <v>0</v>
      </c>
      <c r="F41" s="110">
        <f t="shared" si="7"/>
        <v>0</v>
      </c>
      <c r="G41" s="110">
        <f t="shared" si="7"/>
        <v>4366882</v>
      </c>
      <c r="H41" s="110">
        <f t="shared" si="7"/>
        <v>0</v>
      </c>
      <c r="I41" s="110">
        <f t="shared" si="7"/>
        <v>176413968</v>
      </c>
    </row>
    <row r="42" spans="1:14" s="179" customFormat="1" ht="12" customHeight="1" x14ac:dyDescent="0.2">
      <c r="A42" s="12" t="s">
        <v>78</v>
      </c>
      <c r="B42" s="180" t="s">
        <v>207</v>
      </c>
      <c r="C42" s="176">
        <f t="shared" si="0"/>
        <v>0</v>
      </c>
      <c r="D42" s="677"/>
      <c r="E42" s="214"/>
      <c r="F42" s="214"/>
      <c r="G42" s="214"/>
      <c r="H42" s="214"/>
      <c r="I42" s="214"/>
    </row>
    <row r="43" spans="1:14" s="179" customFormat="1" ht="12" customHeight="1" x14ac:dyDescent="0.2">
      <c r="A43" s="11" t="s">
        <v>79</v>
      </c>
      <c r="B43" s="181" t="s">
        <v>208</v>
      </c>
      <c r="C43" s="276">
        <f t="shared" si="0"/>
        <v>5003463</v>
      </c>
      <c r="D43" s="248">
        <f>1781102+192926</f>
        <v>1974028</v>
      </c>
      <c r="E43" s="114"/>
      <c r="F43" s="214"/>
      <c r="G43" s="214">
        <v>909435</v>
      </c>
      <c r="H43" s="214"/>
      <c r="I43" s="214">
        <v>2120000</v>
      </c>
    </row>
    <row r="44" spans="1:14" s="179" customFormat="1" ht="12" customHeight="1" x14ac:dyDescent="0.2">
      <c r="A44" s="11" t="s">
        <v>80</v>
      </c>
      <c r="B44" s="181" t="s">
        <v>209</v>
      </c>
      <c r="C44" s="279">
        <f t="shared" si="0"/>
        <v>10000000</v>
      </c>
      <c r="D44" s="248"/>
      <c r="E44" s="114"/>
      <c r="F44" s="214"/>
      <c r="G44" s="214"/>
      <c r="H44" s="214"/>
      <c r="I44" s="214">
        <v>10000000</v>
      </c>
    </row>
    <row r="45" spans="1:14" s="179" customFormat="1" ht="12" customHeight="1" x14ac:dyDescent="0.2">
      <c r="A45" s="11" t="s">
        <v>126</v>
      </c>
      <c r="B45" s="181" t="s">
        <v>210</v>
      </c>
      <c r="C45" s="279">
        <f t="shared" si="0"/>
        <v>0</v>
      </c>
      <c r="D45" s="248"/>
      <c r="E45" s="114"/>
      <c r="F45" s="214"/>
      <c r="G45" s="214"/>
      <c r="H45" s="214"/>
      <c r="I45" s="214"/>
    </row>
    <row r="46" spans="1:14" s="179" customFormat="1" ht="12" customHeight="1" x14ac:dyDescent="0.2">
      <c r="A46" s="11" t="s">
        <v>127</v>
      </c>
      <c r="B46" s="181" t="s">
        <v>211</v>
      </c>
      <c r="C46" s="666">
        <f t="shared" si="0"/>
        <v>172795842</v>
      </c>
      <c r="D46" s="248">
        <f>4006980+5424030</f>
        <v>9431010</v>
      </c>
      <c r="E46" s="114"/>
      <c r="F46" s="214"/>
      <c r="G46" s="214"/>
      <c r="H46" s="214"/>
      <c r="I46" s="214">
        <v>163364832</v>
      </c>
    </row>
    <row r="47" spans="1:14" s="179" customFormat="1" ht="12" customHeight="1" x14ac:dyDescent="0.2">
      <c r="A47" s="11" t="s">
        <v>128</v>
      </c>
      <c r="B47" s="181" t="s">
        <v>212</v>
      </c>
      <c r="C47" s="276">
        <f t="shared" si="0"/>
        <v>1707673</v>
      </c>
      <c r="D47" s="248">
        <f>480898+52090</f>
        <v>532988</v>
      </c>
      <c r="E47" s="114"/>
      <c r="F47" s="214"/>
      <c r="G47" s="214">
        <v>245549</v>
      </c>
      <c r="H47" s="214"/>
      <c r="I47" s="214">
        <v>929136</v>
      </c>
    </row>
    <row r="48" spans="1:14" s="179" customFormat="1" ht="12" customHeight="1" x14ac:dyDescent="0.2">
      <c r="A48" s="11" t="s">
        <v>129</v>
      </c>
      <c r="B48" s="181" t="s">
        <v>213</v>
      </c>
      <c r="C48" s="276">
        <f t="shared" si="0"/>
        <v>19458900</v>
      </c>
      <c r="D48" s="248">
        <v>19458900</v>
      </c>
      <c r="E48" s="114"/>
      <c r="F48" s="214"/>
      <c r="G48" s="214"/>
      <c r="H48" s="214"/>
      <c r="I48" s="214"/>
    </row>
    <row r="49" spans="1:9" s="179" customFormat="1" ht="12" customHeight="1" x14ac:dyDescent="0.2">
      <c r="A49" s="11" t="s">
        <v>130</v>
      </c>
      <c r="B49" s="181" t="s">
        <v>477</v>
      </c>
      <c r="C49" s="279">
        <f t="shared" si="0"/>
        <v>0</v>
      </c>
      <c r="D49" s="248"/>
      <c r="E49" s="114"/>
      <c r="F49" s="214"/>
      <c r="G49" s="214"/>
      <c r="H49" s="214"/>
      <c r="I49" s="214"/>
    </row>
    <row r="50" spans="1:9" s="179" customFormat="1" ht="12" customHeight="1" x14ac:dyDescent="0.2">
      <c r="A50" s="11" t="s">
        <v>205</v>
      </c>
      <c r="B50" s="181" t="s">
        <v>215</v>
      </c>
      <c r="C50" s="279">
        <f t="shared" si="0"/>
        <v>0</v>
      </c>
      <c r="D50" s="248"/>
      <c r="E50" s="114"/>
      <c r="F50" s="214"/>
      <c r="G50" s="214"/>
      <c r="H50" s="214"/>
      <c r="I50" s="214"/>
    </row>
    <row r="51" spans="1:9" s="179" customFormat="1" ht="12" customHeight="1" x14ac:dyDescent="0.2">
      <c r="A51" s="13" t="s">
        <v>206</v>
      </c>
      <c r="B51" s="182" t="s">
        <v>391</v>
      </c>
      <c r="C51" s="279">
        <f t="shared" si="0"/>
        <v>0</v>
      </c>
      <c r="D51" s="251"/>
      <c r="E51" s="170"/>
      <c r="F51" s="214"/>
      <c r="G51" s="214"/>
      <c r="H51" s="214"/>
      <c r="I51" s="214"/>
    </row>
    <row r="52" spans="1:9" s="179" customFormat="1" ht="12" customHeight="1" thickBot="1" x14ac:dyDescent="0.25">
      <c r="A52" s="13" t="s">
        <v>392</v>
      </c>
      <c r="B52" s="107" t="s">
        <v>216</v>
      </c>
      <c r="C52" s="1247">
        <f t="shared" si="0"/>
        <v>3661129</v>
      </c>
      <c r="D52" s="251">
        <f>100000+273261+75970</f>
        <v>449231</v>
      </c>
      <c r="E52" s="170"/>
      <c r="F52" s="214"/>
      <c r="G52" s="214">
        <v>3211898</v>
      </c>
      <c r="H52" s="214"/>
      <c r="I52" s="214"/>
    </row>
    <row r="53" spans="1:9" s="179" customFormat="1" ht="12" customHeight="1" thickBot="1" x14ac:dyDescent="0.25">
      <c r="A53" s="17" t="s">
        <v>21</v>
      </c>
      <c r="B53" s="18" t="s">
        <v>217</v>
      </c>
      <c r="C53" s="110">
        <f t="shared" si="0"/>
        <v>0</v>
      </c>
      <c r="D53" s="257">
        <f t="shared" ref="D53:I53" si="8">SUM(D54:D58)</f>
        <v>0</v>
      </c>
      <c r="E53" s="110">
        <f t="shared" si="8"/>
        <v>0</v>
      </c>
      <c r="F53" s="110">
        <f t="shared" si="8"/>
        <v>0</v>
      </c>
      <c r="G53" s="110">
        <f t="shared" si="8"/>
        <v>0</v>
      </c>
      <c r="H53" s="110">
        <f t="shared" si="8"/>
        <v>0</v>
      </c>
      <c r="I53" s="110">
        <f t="shared" si="8"/>
        <v>0</v>
      </c>
    </row>
    <row r="54" spans="1:9" s="179" customFormat="1" ht="12" customHeight="1" x14ac:dyDescent="0.2">
      <c r="A54" s="12" t="s">
        <v>81</v>
      </c>
      <c r="B54" s="180" t="s">
        <v>221</v>
      </c>
      <c r="C54" s="176">
        <f t="shared" si="0"/>
        <v>0</v>
      </c>
      <c r="D54" s="677"/>
      <c r="E54" s="214"/>
      <c r="F54" s="214"/>
      <c r="G54" s="214"/>
      <c r="H54" s="214"/>
      <c r="I54" s="214"/>
    </row>
    <row r="55" spans="1:9" s="179" customFormat="1" ht="12" customHeight="1" x14ac:dyDescent="0.2">
      <c r="A55" s="11" t="s">
        <v>82</v>
      </c>
      <c r="B55" s="181" t="s">
        <v>222</v>
      </c>
      <c r="C55" s="279">
        <f t="shared" si="0"/>
        <v>0</v>
      </c>
      <c r="D55" s="248"/>
      <c r="E55" s="114"/>
      <c r="F55" s="114"/>
      <c r="G55" s="114"/>
      <c r="H55" s="114"/>
      <c r="I55" s="114"/>
    </row>
    <row r="56" spans="1:9" s="179" customFormat="1" ht="12" customHeight="1" x14ac:dyDescent="0.2">
      <c r="A56" s="11" t="s">
        <v>218</v>
      </c>
      <c r="B56" s="181" t="s">
        <v>223</v>
      </c>
      <c r="C56" s="279">
        <f t="shared" si="0"/>
        <v>0</v>
      </c>
      <c r="D56" s="248"/>
      <c r="E56" s="114"/>
      <c r="F56" s="114"/>
      <c r="G56" s="114"/>
      <c r="H56" s="114"/>
      <c r="I56" s="114"/>
    </row>
    <row r="57" spans="1:9" s="179" customFormat="1" ht="12" customHeight="1" x14ac:dyDescent="0.2">
      <c r="A57" s="11" t="s">
        <v>219</v>
      </c>
      <c r="B57" s="181" t="s">
        <v>224</v>
      </c>
      <c r="C57" s="279">
        <f t="shared" si="0"/>
        <v>0</v>
      </c>
      <c r="D57" s="248"/>
      <c r="E57" s="114"/>
      <c r="F57" s="114"/>
      <c r="G57" s="114"/>
      <c r="H57" s="114"/>
      <c r="I57" s="114"/>
    </row>
    <row r="58" spans="1:9" s="179" customFormat="1" ht="12" customHeight="1" thickBot="1" x14ac:dyDescent="0.25">
      <c r="A58" s="13" t="s">
        <v>220</v>
      </c>
      <c r="B58" s="107" t="s">
        <v>225</v>
      </c>
      <c r="C58" s="280">
        <f t="shared" si="0"/>
        <v>0</v>
      </c>
      <c r="D58" s="251"/>
      <c r="E58" s="170"/>
      <c r="F58" s="170"/>
      <c r="G58" s="170"/>
      <c r="H58" s="170"/>
      <c r="I58" s="170"/>
    </row>
    <row r="59" spans="1:9" s="179" customFormat="1" ht="12" customHeight="1" thickBot="1" x14ac:dyDescent="0.25">
      <c r="A59" s="17" t="s">
        <v>131</v>
      </c>
      <c r="B59" s="18" t="s">
        <v>226</v>
      </c>
      <c r="C59" s="110">
        <f t="shared" si="0"/>
        <v>656096</v>
      </c>
      <c r="D59" s="257">
        <f t="shared" ref="D59:I59" si="9">SUM(D60:D62)</f>
        <v>656096</v>
      </c>
      <c r="E59" s="110">
        <f t="shared" si="9"/>
        <v>0</v>
      </c>
      <c r="F59" s="110">
        <f t="shared" si="9"/>
        <v>0</v>
      </c>
      <c r="G59" s="110">
        <f t="shared" si="9"/>
        <v>0</v>
      </c>
      <c r="H59" s="110">
        <f t="shared" si="9"/>
        <v>0</v>
      </c>
      <c r="I59" s="110">
        <f t="shared" si="9"/>
        <v>0</v>
      </c>
    </row>
    <row r="60" spans="1:9" s="179" customFormat="1" ht="12" customHeight="1" x14ac:dyDescent="0.2">
      <c r="A60" s="12" t="s">
        <v>83</v>
      </c>
      <c r="B60" s="180" t="s">
        <v>227</v>
      </c>
      <c r="C60" s="176">
        <f t="shared" si="0"/>
        <v>0</v>
      </c>
      <c r="D60" s="258"/>
      <c r="E60" s="112"/>
      <c r="F60" s="112"/>
      <c r="G60" s="112"/>
      <c r="H60" s="112"/>
      <c r="I60" s="112"/>
    </row>
    <row r="61" spans="1:9" s="179" customFormat="1" ht="12" customHeight="1" x14ac:dyDescent="0.2">
      <c r="A61" s="11" t="s">
        <v>84</v>
      </c>
      <c r="B61" s="181" t="s">
        <v>356</v>
      </c>
      <c r="C61" s="279">
        <f t="shared" si="0"/>
        <v>200000</v>
      </c>
      <c r="D61" s="248">
        <v>200000</v>
      </c>
      <c r="E61" s="114"/>
      <c r="F61" s="114"/>
      <c r="G61" s="114"/>
      <c r="H61" s="114"/>
      <c r="I61" s="114"/>
    </row>
    <row r="62" spans="1:9" s="179" customFormat="1" ht="12" customHeight="1" x14ac:dyDescent="0.2">
      <c r="A62" s="11" t="s">
        <v>230</v>
      </c>
      <c r="B62" s="181" t="s">
        <v>228</v>
      </c>
      <c r="C62" s="276">
        <f t="shared" si="0"/>
        <v>456096</v>
      </c>
      <c r="D62" s="248">
        <v>456096</v>
      </c>
      <c r="E62" s="114"/>
      <c r="F62" s="114"/>
      <c r="G62" s="114"/>
      <c r="H62" s="114"/>
      <c r="I62" s="114"/>
    </row>
    <row r="63" spans="1:9" s="179" customFormat="1" ht="12" customHeight="1" thickBot="1" x14ac:dyDescent="0.25">
      <c r="A63" s="13" t="s">
        <v>231</v>
      </c>
      <c r="B63" s="107" t="s">
        <v>229</v>
      </c>
      <c r="C63" s="280">
        <f t="shared" si="0"/>
        <v>0</v>
      </c>
      <c r="D63" s="100"/>
      <c r="E63" s="113"/>
      <c r="F63" s="113"/>
      <c r="G63" s="113"/>
      <c r="H63" s="113"/>
      <c r="I63" s="113"/>
    </row>
    <row r="64" spans="1:9" s="179" customFormat="1" ht="12" customHeight="1" thickBot="1" x14ac:dyDescent="0.25">
      <c r="A64" s="17" t="s">
        <v>23</v>
      </c>
      <c r="B64" s="105" t="s">
        <v>232</v>
      </c>
      <c r="C64" s="110">
        <f t="shared" si="0"/>
        <v>200000</v>
      </c>
      <c r="D64" s="257">
        <f t="shared" ref="D64:I64" si="10">SUM(D65:D67)</f>
        <v>200000</v>
      </c>
      <c r="E64" s="110">
        <f t="shared" si="10"/>
        <v>0</v>
      </c>
      <c r="F64" s="110">
        <f t="shared" si="10"/>
        <v>0</v>
      </c>
      <c r="G64" s="110">
        <f t="shared" si="10"/>
        <v>0</v>
      </c>
      <c r="H64" s="110">
        <f t="shared" si="10"/>
        <v>0</v>
      </c>
      <c r="I64" s="110">
        <f t="shared" si="10"/>
        <v>0</v>
      </c>
    </row>
    <row r="65" spans="1:9" s="179" customFormat="1" ht="12" customHeight="1" x14ac:dyDescent="0.2">
      <c r="A65" s="12" t="s">
        <v>132</v>
      </c>
      <c r="B65" s="180" t="s">
        <v>234</v>
      </c>
      <c r="C65" s="176">
        <f t="shared" si="0"/>
        <v>0</v>
      </c>
      <c r="D65" s="248"/>
      <c r="E65" s="114"/>
      <c r="F65" s="114"/>
      <c r="G65" s="114"/>
      <c r="H65" s="114"/>
      <c r="I65" s="114"/>
    </row>
    <row r="66" spans="1:9" s="179" customFormat="1" ht="12" customHeight="1" x14ac:dyDescent="0.2">
      <c r="A66" s="11" t="s">
        <v>133</v>
      </c>
      <c r="B66" s="181" t="s">
        <v>357</v>
      </c>
      <c r="C66" s="279">
        <f t="shared" si="0"/>
        <v>0</v>
      </c>
      <c r="D66" s="248"/>
      <c r="E66" s="114"/>
      <c r="F66" s="114"/>
      <c r="G66" s="114"/>
      <c r="H66" s="114"/>
      <c r="I66" s="114"/>
    </row>
    <row r="67" spans="1:9" s="179" customFormat="1" ht="12" customHeight="1" x14ac:dyDescent="0.2">
      <c r="A67" s="11" t="s">
        <v>158</v>
      </c>
      <c r="B67" s="181" t="s">
        <v>235</v>
      </c>
      <c r="C67" s="666">
        <f t="shared" si="0"/>
        <v>200000</v>
      </c>
      <c r="D67" s="248">
        <f>200000</f>
        <v>200000</v>
      </c>
      <c r="E67" s="114"/>
      <c r="F67" s="114"/>
      <c r="G67" s="114"/>
      <c r="H67" s="114"/>
      <c r="I67" s="114"/>
    </row>
    <row r="68" spans="1:9" s="179" customFormat="1" ht="12" customHeight="1" thickBot="1" x14ac:dyDescent="0.25">
      <c r="A68" s="13" t="s">
        <v>233</v>
      </c>
      <c r="B68" s="107" t="s">
        <v>236</v>
      </c>
      <c r="C68" s="669">
        <f t="shared" si="0"/>
        <v>0</v>
      </c>
      <c r="D68" s="248"/>
      <c r="E68" s="114"/>
      <c r="F68" s="114"/>
      <c r="G68" s="114"/>
      <c r="H68" s="114"/>
      <c r="I68" s="114"/>
    </row>
    <row r="69" spans="1:9" s="179" customFormat="1" ht="12" customHeight="1" thickBot="1" x14ac:dyDescent="0.25">
      <c r="A69" s="235" t="s">
        <v>393</v>
      </c>
      <c r="B69" s="18" t="s">
        <v>237</v>
      </c>
      <c r="C69" s="110">
        <f t="shared" si="0"/>
        <v>915202201</v>
      </c>
      <c r="D69" s="259">
        <f t="shared" ref="D69:I69" si="11">+D11+D20+D27+D34+D41+D53+D59+D64</f>
        <v>664457581</v>
      </c>
      <c r="E69" s="115">
        <f t="shared" si="11"/>
        <v>0</v>
      </c>
      <c r="F69" s="115">
        <f t="shared" si="11"/>
        <v>0</v>
      </c>
      <c r="G69" s="115">
        <f t="shared" si="11"/>
        <v>4366882</v>
      </c>
      <c r="H69" s="115">
        <f t="shared" si="11"/>
        <v>0</v>
      </c>
      <c r="I69" s="115">
        <f t="shared" si="11"/>
        <v>246377738</v>
      </c>
    </row>
    <row r="70" spans="1:9" s="179" customFormat="1" ht="12" customHeight="1" thickBot="1" x14ac:dyDescent="0.25">
      <c r="A70" s="236" t="s">
        <v>238</v>
      </c>
      <c r="B70" s="105" t="s">
        <v>239</v>
      </c>
      <c r="C70" s="110">
        <f t="shared" si="0"/>
        <v>0</v>
      </c>
      <c r="D70" s="257">
        <f t="shared" ref="D70:I70" si="12">SUM(D71:D73)</f>
        <v>0</v>
      </c>
      <c r="E70" s="110">
        <f t="shared" si="12"/>
        <v>0</v>
      </c>
      <c r="F70" s="110">
        <f t="shared" si="12"/>
        <v>0</v>
      </c>
      <c r="G70" s="110">
        <f t="shared" si="12"/>
        <v>0</v>
      </c>
      <c r="H70" s="110">
        <f t="shared" si="12"/>
        <v>0</v>
      </c>
      <c r="I70" s="110">
        <f t="shared" si="12"/>
        <v>0</v>
      </c>
    </row>
    <row r="71" spans="1:9" s="179" customFormat="1" ht="12" customHeight="1" x14ac:dyDescent="0.2">
      <c r="A71" s="12" t="s">
        <v>270</v>
      </c>
      <c r="B71" s="180" t="s">
        <v>240</v>
      </c>
      <c r="C71" s="176">
        <f t="shared" si="0"/>
        <v>0</v>
      </c>
      <c r="D71" s="248"/>
      <c r="E71" s="114"/>
      <c r="F71" s="114"/>
      <c r="G71" s="114"/>
      <c r="H71" s="114"/>
      <c r="I71" s="114"/>
    </row>
    <row r="72" spans="1:9" s="179" customFormat="1" ht="12" customHeight="1" x14ac:dyDescent="0.2">
      <c r="A72" s="11" t="s">
        <v>279</v>
      </c>
      <c r="B72" s="181" t="s">
        <v>241</v>
      </c>
      <c r="C72" s="279">
        <f t="shared" si="0"/>
        <v>0</v>
      </c>
      <c r="D72" s="248"/>
      <c r="E72" s="114"/>
      <c r="F72" s="114"/>
      <c r="G72" s="114"/>
      <c r="H72" s="114"/>
      <c r="I72" s="114"/>
    </row>
    <row r="73" spans="1:9" s="179" customFormat="1" ht="12" customHeight="1" thickBot="1" x14ac:dyDescent="0.25">
      <c r="A73" s="13" t="s">
        <v>280</v>
      </c>
      <c r="B73" s="237" t="s">
        <v>394</v>
      </c>
      <c r="C73" s="280">
        <f t="shared" si="0"/>
        <v>0</v>
      </c>
      <c r="D73" s="248"/>
      <c r="E73" s="114"/>
      <c r="F73" s="114"/>
      <c r="G73" s="114"/>
      <c r="H73" s="114"/>
      <c r="I73" s="114"/>
    </row>
    <row r="74" spans="1:9" s="179" customFormat="1" ht="12" customHeight="1" thickBot="1" x14ac:dyDescent="0.25">
      <c r="A74" s="236" t="s">
        <v>243</v>
      </c>
      <c r="B74" s="105" t="s">
        <v>244</v>
      </c>
      <c r="C74" s="281">
        <f t="shared" si="0"/>
        <v>0</v>
      </c>
      <c r="D74" s="257">
        <f t="shared" ref="D74:I74" si="13">SUM(D75:D78)</f>
        <v>0</v>
      </c>
      <c r="E74" s="110">
        <f t="shared" si="13"/>
        <v>0</v>
      </c>
      <c r="F74" s="110">
        <f t="shared" si="13"/>
        <v>0</v>
      </c>
      <c r="G74" s="110">
        <f t="shared" si="13"/>
        <v>0</v>
      </c>
      <c r="H74" s="110">
        <f t="shared" si="13"/>
        <v>0</v>
      </c>
      <c r="I74" s="110">
        <f t="shared" si="13"/>
        <v>0</v>
      </c>
    </row>
    <row r="75" spans="1:9" s="179" customFormat="1" ht="12" customHeight="1" x14ac:dyDescent="0.2">
      <c r="A75" s="12" t="s">
        <v>112</v>
      </c>
      <c r="B75" s="180" t="s">
        <v>245</v>
      </c>
      <c r="C75" s="176">
        <f t="shared" si="0"/>
        <v>0</v>
      </c>
      <c r="D75" s="248"/>
      <c r="E75" s="114"/>
      <c r="F75" s="114"/>
      <c r="G75" s="114"/>
      <c r="H75" s="114"/>
      <c r="I75" s="114"/>
    </row>
    <row r="76" spans="1:9" s="179" customFormat="1" ht="12" customHeight="1" x14ac:dyDescent="0.2">
      <c r="A76" s="11" t="s">
        <v>113</v>
      </c>
      <c r="B76" s="181" t="s">
        <v>745</v>
      </c>
      <c r="C76" s="279">
        <f t="shared" ref="C76:C94" si="14">SUM(D76:I76)</f>
        <v>0</v>
      </c>
      <c r="D76" s="248"/>
      <c r="E76" s="114"/>
      <c r="F76" s="114"/>
      <c r="G76" s="114"/>
      <c r="H76" s="114"/>
      <c r="I76" s="114"/>
    </row>
    <row r="77" spans="1:9" s="179" customFormat="1" ht="12" customHeight="1" x14ac:dyDescent="0.2">
      <c r="A77" s="11" t="s">
        <v>271</v>
      </c>
      <c r="B77" s="181" t="s">
        <v>247</v>
      </c>
      <c r="C77" s="279">
        <f t="shared" si="14"/>
        <v>0</v>
      </c>
      <c r="D77" s="248"/>
      <c r="E77" s="114"/>
      <c r="F77" s="114"/>
      <c r="G77" s="114"/>
      <c r="H77" s="114"/>
      <c r="I77" s="114"/>
    </row>
    <row r="78" spans="1:9" s="179" customFormat="1" ht="12" customHeight="1" thickBot="1" x14ac:dyDescent="0.25">
      <c r="A78" s="13" t="s">
        <v>272</v>
      </c>
      <c r="B78" s="107" t="s">
        <v>746</v>
      </c>
      <c r="C78" s="280">
        <f t="shared" si="14"/>
        <v>0</v>
      </c>
      <c r="D78" s="248"/>
      <c r="E78" s="114"/>
      <c r="F78" s="114"/>
      <c r="G78" s="114"/>
      <c r="H78" s="114"/>
      <c r="I78" s="114"/>
    </row>
    <row r="79" spans="1:9" s="179" customFormat="1" ht="12" customHeight="1" thickBot="1" x14ac:dyDescent="0.25">
      <c r="A79" s="236" t="s">
        <v>249</v>
      </c>
      <c r="B79" s="105" t="s">
        <v>250</v>
      </c>
      <c r="C79" s="110">
        <f t="shared" si="14"/>
        <v>47181164</v>
      </c>
      <c r="D79" s="257">
        <f t="shared" ref="D79:I79" si="15">SUM(D80:D81)</f>
        <v>0</v>
      </c>
      <c r="E79" s="110">
        <f t="shared" si="15"/>
        <v>0</v>
      </c>
      <c r="F79" s="110">
        <f t="shared" si="15"/>
        <v>0</v>
      </c>
      <c r="G79" s="110">
        <f t="shared" si="15"/>
        <v>0</v>
      </c>
      <c r="H79" s="110">
        <f t="shared" si="15"/>
        <v>0</v>
      </c>
      <c r="I79" s="110">
        <f t="shared" si="15"/>
        <v>47181164</v>
      </c>
    </row>
    <row r="80" spans="1:9" s="179" customFormat="1" ht="12" customHeight="1" x14ac:dyDescent="0.2">
      <c r="A80" s="12" t="s">
        <v>273</v>
      </c>
      <c r="B80" s="180" t="s">
        <v>251</v>
      </c>
      <c r="C80" s="176">
        <f t="shared" si="14"/>
        <v>47181164</v>
      </c>
      <c r="D80" s="248"/>
      <c r="E80" s="114"/>
      <c r="F80" s="114"/>
      <c r="G80" s="114"/>
      <c r="H80" s="114"/>
      <c r="I80" s="114">
        <v>47181164</v>
      </c>
    </row>
    <row r="81" spans="1:9" s="179" customFormat="1" ht="12" customHeight="1" thickBot="1" x14ac:dyDescent="0.25">
      <c r="A81" s="13" t="s">
        <v>274</v>
      </c>
      <c r="B81" s="107" t="s">
        <v>252</v>
      </c>
      <c r="C81" s="280">
        <f t="shared" si="14"/>
        <v>0</v>
      </c>
      <c r="D81" s="248"/>
      <c r="E81" s="114"/>
      <c r="F81" s="114"/>
      <c r="G81" s="114"/>
      <c r="H81" s="114"/>
      <c r="I81" s="114"/>
    </row>
    <row r="82" spans="1:9" s="179" customFormat="1" ht="12" customHeight="1" thickBot="1" x14ac:dyDescent="0.25">
      <c r="A82" s="236" t="s">
        <v>253</v>
      </c>
      <c r="B82" s="105" t="s">
        <v>254</v>
      </c>
      <c r="C82" s="110">
        <f t="shared" si="14"/>
        <v>0</v>
      </c>
      <c r="D82" s="257">
        <f t="shared" ref="D82:I82" si="16">SUM(D83:D85)</f>
        <v>0</v>
      </c>
      <c r="E82" s="110">
        <f t="shared" si="16"/>
        <v>0</v>
      </c>
      <c r="F82" s="110">
        <f t="shared" si="16"/>
        <v>0</v>
      </c>
      <c r="G82" s="110">
        <f t="shared" si="16"/>
        <v>0</v>
      </c>
      <c r="H82" s="110">
        <f t="shared" si="16"/>
        <v>0</v>
      </c>
      <c r="I82" s="110">
        <f t="shared" si="16"/>
        <v>0</v>
      </c>
    </row>
    <row r="83" spans="1:9" s="179" customFormat="1" ht="12" customHeight="1" x14ac:dyDescent="0.2">
      <c r="A83" s="12" t="s">
        <v>275</v>
      </c>
      <c r="B83" s="180" t="s">
        <v>255</v>
      </c>
      <c r="C83" s="176">
        <f t="shared" si="14"/>
        <v>0</v>
      </c>
      <c r="D83" s="248"/>
      <c r="E83" s="114"/>
      <c r="F83" s="114"/>
      <c r="G83" s="114"/>
      <c r="H83" s="114"/>
      <c r="I83" s="114"/>
    </row>
    <row r="84" spans="1:9" s="179" customFormat="1" ht="12" customHeight="1" x14ac:dyDescent="0.2">
      <c r="A84" s="11" t="s">
        <v>276</v>
      </c>
      <c r="B84" s="181" t="s">
        <v>256</v>
      </c>
      <c r="C84" s="279">
        <f t="shared" si="14"/>
        <v>0</v>
      </c>
      <c r="D84" s="248"/>
      <c r="E84" s="114"/>
      <c r="F84" s="114"/>
      <c r="G84" s="114"/>
      <c r="H84" s="114"/>
      <c r="I84" s="114"/>
    </row>
    <row r="85" spans="1:9" s="179" customFormat="1" ht="12" customHeight="1" thickBot="1" x14ac:dyDescent="0.25">
      <c r="A85" s="13" t="s">
        <v>277</v>
      </c>
      <c r="B85" s="107" t="s">
        <v>747</v>
      </c>
      <c r="C85" s="280">
        <f t="shared" si="14"/>
        <v>0</v>
      </c>
      <c r="D85" s="248"/>
      <c r="E85" s="114"/>
      <c r="F85" s="114"/>
      <c r="G85" s="114"/>
      <c r="H85" s="114"/>
      <c r="I85" s="114"/>
    </row>
    <row r="86" spans="1:9" s="179" customFormat="1" ht="12" customHeight="1" thickBot="1" x14ac:dyDescent="0.25">
      <c r="A86" s="236" t="s">
        <v>258</v>
      </c>
      <c r="B86" s="105" t="s">
        <v>278</v>
      </c>
      <c r="C86" s="110">
        <f t="shared" si="14"/>
        <v>0</v>
      </c>
      <c r="D86" s="257">
        <f t="shared" ref="D86:I86" si="17">SUM(D87:D90)</f>
        <v>0</v>
      </c>
      <c r="E86" s="110">
        <f t="shared" si="17"/>
        <v>0</v>
      </c>
      <c r="F86" s="110">
        <f t="shared" si="17"/>
        <v>0</v>
      </c>
      <c r="G86" s="110">
        <f t="shared" si="17"/>
        <v>0</v>
      </c>
      <c r="H86" s="110">
        <f t="shared" si="17"/>
        <v>0</v>
      </c>
      <c r="I86" s="110">
        <f t="shared" si="17"/>
        <v>0</v>
      </c>
    </row>
    <row r="87" spans="1:9" s="179" customFormat="1" ht="12" customHeight="1" x14ac:dyDescent="0.2">
      <c r="A87" s="184" t="s">
        <v>259</v>
      </c>
      <c r="B87" s="180" t="s">
        <v>260</v>
      </c>
      <c r="C87" s="176">
        <f t="shared" si="14"/>
        <v>0</v>
      </c>
      <c r="D87" s="248"/>
      <c r="E87" s="114"/>
      <c r="F87" s="114"/>
      <c r="G87" s="114"/>
      <c r="H87" s="114"/>
      <c r="I87" s="114"/>
    </row>
    <row r="88" spans="1:9" s="179" customFormat="1" ht="12" customHeight="1" x14ac:dyDescent="0.2">
      <c r="A88" s="185" t="s">
        <v>261</v>
      </c>
      <c r="B88" s="181" t="s">
        <v>262</v>
      </c>
      <c r="C88" s="279">
        <f t="shared" si="14"/>
        <v>0</v>
      </c>
      <c r="D88" s="248"/>
      <c r="E88" s="114"/>
      <c r="F88" s="114"/>
      <c r="G88" s="114"/>
      <c r="H88" s="114"/>
      <c r="I88" s="114"/>
    </row>
    <row r="89" spans="1:9" s="179" customFormat="1" ht="12" customHeight="1" x14ac:dyDescent="0.2">
      <c r="A89" s="185" t="s">
        <v>263</v>
      </c>
      <c r="B89" s="181" t="s">
        <v>264</v>
      </c>
      <c r="C89" s="279">
        <f t="shared" si="14"/>
        <v>0</v>
      </c>
      <c r="D89" s="248"/>
      <c r="E89" s="114"/>
      <c r="F89" s="114"/>
      <c r="G89" s="114"/>
      <c r="H89" s="114"/>
      <c r="I89" s="114"/>
    </row>
    <row r="90" spans="1:9" s="179" customFormat="1" ht="12" customHeight="1" thickBot="1" x14ac:dyDescent="0.25">
      <c r="A90" s="186" t="s">
        <v>265</v>
      </c>
      <c r="B90" s="107" t="s">
        <v>266</v>
      </c>
      <c r="C90" s="280">
        <f t="shared" si="14"/>
        <v>0</v>
      </c>
      <c r="D90" s="248"/>
      <c r="E90" s="114"/>
      <c r="F90" s="114"/>
      <c r="G90" s="114"/>
      <c r="H90" s="114"/>
      <c r="I90" s="114"/>
    </row>
    <row r="91" spans="1:9" s="179" customFormat="1" ht="12" customHeight="1" thickBot="1" x14ac:dyDescent="0.25">
      <c r="A91" s="236" t="s">
        <v>267</v>
      </c>
      <c r="B91" s="105" t="s">
        <v>395</v>
      </c>
      <c r="C91" s="110">
        <f t="shared" si="14"/>
        <v>0</v>
      </c>
      <c r="D91" s="260"/>
      <c r="E91" s="215"/>
      <c r="F91" s="215"/>
      <c r="G91" s="215"/>
      <c r="H91" s="215"/>
      <c r="I91" s="215"/>
    </row>
    <row r="92" spans="1:9" s="179" customFormat="1" ht="13.5" customHeight="1" thickBot="1" x14ac:dyDescent="0.25">
      <c r="A92" s="236" t="s">
        <v>269</v>
      </c>
      <c r="B92" s="105" t="s">
        <v>268</v>
      </c>
      <c r="C92" s="110">
        <f t="shared" si="14"/>
        <v>0</v>
      </c>
      <c r="D92" s="260"/>
      <c r="E92" s="215"/>
      <c r="F92" s="215"/>
      <c r="G92" s="215"/>
      <c r="H92" s="215"/>
      <c r="I92" s="215"/>
    </row>
    <row r="93" spans="1:9" s="179" customFormat="1" ht="15.75" customHeight="1" thickBot="1" x14ac:dyDescent="0.25">
      <c r="A93" s="236" t="s">
        <v>281</v>
      </c>
      <c r="B93" s="187" t="s">
        <v>396</v>
      </c>
      <c r="C93" s="110">
        <f t="shared" si="14"/>
        <v>47181164</v>
      </c>
      <c r="D93" s="259">
        <f t="shared" ref="D93:I93" si="18">+D70+D74+D79+D82+D86+D92+D91</f>
        <v>0</v>
      </c>
      <c r="E93" s="115">
        <f t="shared" si="18"/>
        <v>0</v>
      </c>
      <c r="F93" s="115">
        <f t="shared" si="18"/>
        <v>0</v>
      </c>
      <c r="G93" s="115">
        <f t="shared" si="18"/>
        <v>0</v>
      </c>
      <c r="H93" s="115">
        <f t="shared" si="18"/>
        <v>0</v>
      </c>
      <c r="I93" s="115">
        <f t="shared" si="18"/>
        <v>47181164</v>
      </c>
    </row>
    <row r="94" spans="1:9" s="179" customFormat="1" ht="16.5" customHeight="1" thickBot="1" x14ac:dyDescent="0.25">
      <c r="A94" s="238" t="s">
        <v>397</v>
      </c>
      <c r="B94" s="188" t="s">
        <v>398</v>
      </c>
      <c r="C94" s="110">
        <f t="shared" si="14"/>
        <v>962383365</v>
      </c>
      <c r="D94" s="259">
        <f t="shared" ref="D94:I94" si="19">+D69+D93</f>
        <v>664457581</v>
      </c>
      <c r="E94" s="115">
        <f t="shared" si="19"/>
        <v>0</v>
      </c>
      <c r="F94" s="115">
        <f t="shared" si="19"/>
        <v>0</v>
      </c>
      <c r="G94" s="115">
        <f t="shared" si="19"/>
        <v>4366882</v>
      </c>
      <c r="H94" s="115">
        <f t="shared" si="19"/>
        <v>0</v>
      </c>
      <c r="I94" s="115">
        <f t="shared" si="19"/>
        <v>293558902</v>
      </c>
    </row>
    <row r="95" spans="1:9" ht="16.5" customHeight="1" x14ac:dyDescent="0.25">
      <c r="A95" s="1328" t="s">
        <v>44</v>
      </c>
      <c r="B95" s="1328"/>
      <c r="C95" s="1328"/>
      <c r="D95" s="283"/>
    </row>
    <row r="96" spans="1:9" ht="16.5" customHeight="1" thickBot="1" x14ac:dyDescent="0.3">
      <c r="A96" s="1329" t="s">
        <v>115</v>
      </c>
      <c r="B96" s="1329"/>
      <c r="C96" s="56" t="s">
        <v>487</v>
      </c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167" t="str">
        <f t="shared" ref="D97:I97" si="20">D9</f>
        <v>Önk</v>
      </c>
      <c r="E97" s="167" t="str">
        <f t="shared" si="20"/>
        <v>PH</v>
      </c>
      <c r="F97" s="167" t="str">
        <f t="shared" si="20"/>
        <v>Óvoda</v>
      </c>
      <c r="G97" s="167" t="str">
        <f t="shared" si="20"/>
        <v>EKIK</v>
      </c>
      <c r="H97" s="167" t="str">
        <f t="shared" si="20"/>
        <v>Bölcsőde</v>
      </c>
      <c r="I97" s="167" t="str">
        <f t="shared" si="20"/>
        <v>Kornisné</v>
      </c>
    </row>
    <row r="98" spans="1:9" s="178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0">
        <f t="shared" ref="C99:C160" si="21">SUM(D99:I99)</f>
        <v>1142090096</v>
      </c>
      <c r="D99" s="263">
        <f>+D100+D101+D102+D103+D104+D117</f>
        <v>280513004</v>
      </c>
      <c r="E99" s="109">
        <f>+E100+E101+E102+E103+E104+E117</f>
        <v>108914</v>
      </c>
      <c r="F99" s="267">
        <f>F100+F101+F102+F103+F104+F117</f>
        <v>0</v>
      </c>
      <c r="G99" s="267">
        <f>G100+G101+G102+G103+G104+G117</f>
        <v>1421064</v>
      </c>
      <c r="H99" s="267">
        <f>H100+H101+H102+H103+H104+H117</f>
        <v>0</v>
      </c>
      <c r="I99" s="267">
        <f>I100+I101+I102+I103+I104+I117</f>
        <v>860047114</v>
      </c>
    </row>
    <row r="100" spans="1:9" ht="12" customHeight="1" x14ac:dyDescent="0.25">
      <c r="A100" s="14" t="s">
        <v>85</v>
      </c>
      <c r="B100" s="7" t="s">
        <v>46</v>
      </c>
      <c r="C100" s="1137">
        <f t="shared" si="21"/>
        <v>559875901</v>
      </c>
      <c r="D100" s="678">
        <f>3472852-6255123+29664224+958699-12410350-1400000</f>
        <v>14030302</v>
      </c>
      <c r="E100" s="253"/>
      <c r="F100" s="253"/>
      <c r="G100" s="253">
        <v>157480</v>
      </c>
      <c r="H100" s="253"/>
      <c r="I100" s="253">
        <v>545688119</v>
      </c>
    </row>
    <row r="101" spans="1:9" ht="12" customHeight="1" x14ac:dyDescent="0.25">
      <c r="A101" s="11" t="s">
        <v>86</v>
      </c>
      <c r="B101" s="5" t="s">
        <v>134</v>
      </c>
      <c r="C101" s="666">
        <f t="shared" si="21"/>
        <v>82184675</v>
      </c>
      <c r="D101" s="248">
        <f>1482606-782058+3385159+124631+769158-560000</f>
        <v>4419496</v>
      </c>
      <c r="E101" s="114">
        <f>7314</f>
        <v>7314</v>
      </c>
      <c r="F101" s="114"/>
      <c r="G101" s="114">
        <v>66080</v>
      </c>
      <c r="H101" s="114"/>
      <c r="I101" s="114">
        <v>77691785</v>
      </c>
    </row>
    <row r="102" spans="1:9" ht="12" customHeight="1" x14ac:dyDescent="0.25">
      <c r="A102" s="11" t="s">
        <v>87</v>
      </c>
      <c r="B102" s="5" t="s">
        <v>110</v>
      </c>
      <c r="C102" s="666">
        <f t="shared" si="21"/>
        <v>477192388</v>
      </c>
      <c r="D102" s="251">
        <f>112474577+412504+39761031+2+13986221+36068110+2268099+38831530-4576000</f>
        <v>239226074</v>
      </c>
      <c r="E102" s="170">
        <f>80000+21600</f>
        <v>101600</v>
      </c>
      <c r="F102" s="114"/>
      <c r="G102" s="114">
        <v>1197504</v>
      </c>
      <c r="H102" s="114"/>
      <c r="I102" s="114">
        <v>236667210</v>
      </c>
    </row>
    <row r="103" spans="1:9" ht="12" customHeight="1" x14ac:dyDescent="0.25">
      <c r="A103" s="11" t="s">
        <v>88</v>
      </c>
      <c r="B103" s="5" t="s">
        <v>135</v>
      </c>
      <c r="C103" s="276">
        <f t="shared" si="21"/>
        <v>0</v>
      </c>
      <c r="D103" s="251"/>
      <c r="E103" s="170"/>
      <c r="F103" s="170"/>
      <c r="G103" s="170"/>
      <c r="H103" s="170"/>
      <c r="I103" s="170"/>
    </row>
    <row r="104" spans="1:9" ht="12" customHeight="1" x14ac:dyDescent="0.25">
      <c r="A104" s="11" t="s">
        <v>99</v>
      </c>
      <c r="B104" s="4" t="s">
        <v>136</v>
      </c>
      <c r="C104" s="276">
        <f t="shared" si="21"/>
        <v>22837132</v>
      </c>
      <c r="D104" s="251">
        <f>SUM(D105:D116)</f>
        <v>22837132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</row>
    <row r="105" spans="1:9" ht="12" customHeight="1" x14ac:dyDescent="0.25">
      <c r="A105" s="11" t="s">
        <v>89</v>
      </c>
      <c r="B105" s="5" t="s">
        <v>399</v>
      </c>
      <c r="C105" s="276">
        <f t="shared" si="21"/>
        <v>1159033</v>
      </c>
      <c r="D105" s="251">
        <f>387163+771870</f>
        <v>1159033</v>
      </c>
      <c r="E105" s="170"/>
      <c r="F105" s="170"/>
      <c r="G105" s="170"/>
      <c r="H105" s="170"/>
      <c r="I105" s="170"/>
    </row>
    <row r="106" spans="1:9" ht="12" customHeight="1" x14ac:dyDescent="0.25">
      <c r="A106" s="11" t="s">
        <v>90</v>
      </c>
      <c r="B106" s="60" t="s">
        <v>400</v>
      </c>
      <c r="C106" s="276">
        <f t="shared" si="21"/>
        <v>0</v>
      </c>
      <c r="D106" s="251"/>
      <c r="E106" s="170"/>
      <c r="F106" s="170"/>
      <c r="G106" s="170"/>
      <c r="H106" s="170"/>
      <c r="I106" s="170"/>
    </row>
    <row r="107" spans="1:9" ht="12" customHeight="1" x14ac:dyDescent="0.25">
      <c r="A107" s="11" t="s">
        <v>100</v>
      </c>
      <c r="B107" s="60" t="s">
        <v>401</v>
      </c>
      <c r="C107" s="279">
        <f t="shared" si="21"/>
        <v>0</v>
      </c>
      <c r="D107" s="251"/>
      <c r="E107" s="170"/>
      <c r="F107" s="170"/>
      <c r="G107" s="170"/>
      <c r="H107" s="170"/>
      <c r="I107" s="170"/>
    </row>
    <row r="108" spans="1:9" ht="12" customHeight="1" x14ac:dyDescent="0.25">
      <c r="A108" s="11" t="s">
        <v>101</v>
      </c>
      <c r="B108" s="58" t="s">
        <v>284</v>
      </c>
      <c r="C108" s="279">
        <f t="shared" si="21"/>
        <v>0</v>
      </c>
      <c r="D108" s="251"/>
      <c r="E108" s="170"/>
      <c r="F108" s="170"/>
      <c r="G108" s="170"/>
      <c r="H108" s="170"/>
      <c r="I108" s="170"/>
    </row>
    <row r="109" spans="1:9" ht="12" customHeight="1" x14ac:dyDescent="0.25">
      <c r="A109" s="11" t="s">
        <v>102</v>
      </c>
      <c r="B109" s="59" t="s">
        <v>285</v>
      </c>
      <c r="C109" s="279">
        <f t="shared" si="21"/>
        <v>0</v>
      </c>
      <c r="D109" s="251"/>
      <c r="E109" s="170"/>
      <c r="F109" s="170"/>
      <c r="G109" s="170"/>
      <c r="H109" s="170"/>
      <c r="I109" s="170"/>
    </row>
    <row r="110" spans="1:9" ht="12" customHeight="1" x14ac:dyDescent="0.25">
      <c r="A110" s="11" t="s">
        <v>103</v>
      </c>
      <c r="B110" s="59" t="s">
        <v>286</v>
      </c>
      <c r="C110" s="279">
        <f t="shared" si="21"/>
        <v>0</v>
      </c>
      <c r="D110" s="251"/>
      <c r="E110" s="170"/>
      <c r="F110" s="170"/>
      <c r="G110" s="170"/>
      <c r="H110" s="170"/>
      <c r="I110" s="170"/>
    </row>
    <row r="111" spans="1:9" ht="12" customHeight="1" x14ac:dyDescent="0.25">
      <c r="A111" s="11" t="s">
        <v>105</v>
      </c>
      <c r="B111" s="58" t="s">
        <v>287</v>
      </c>
      <c r="C111" s="276">
        <f t="shared" si="21"/>
        <v>457970</v>
      </c>
      <c r="D111" s="251">
        <f>457259+711</f>
        <v>457970</v>
      </c>
      <c r="E111" s="170"/>
      <c r="F111" s="170"/>
      <c r="G111" s="170"/>
      <c r="H111" s="170"/>
      <c r="I111" s="170"/>
    </row>
    <row r="112" spans="1:9" ht="12" customHeight="1" x14ac:dyDescent="0.25">
      <c r="A112" s="11" t="s">
        <v>137</v>
      </c>
      <c r="B112" s="58" t="s">
        <v>288</v>
      </c>
      <c r="C112" s="279">
        <f t="shared" si="21"/>
        <v>0</v>
      </c>
      <c r="D112" s="251"/>
      <c r="E112" s="170"/>
      <c r="F112" s="170"/>
      <c r="G112" s="170"/>
      <c r="H112" s="170"/>
      <c r="I112" s="170"/>
    </row>
    <row r="113" spans="1:9" ht="12" customHeight="1" x14ac:dyDescent="0.25">
      <c r="A113" s="11" t="s">
        <v>282</v>
      </c>
      <c r="B113" s="59" t="s">
        <v>289</v>
      </c>
      <c r="C113" s="279">
        <f t="shared" si="21"/>
        <v>0</v>
      </c>
      <c r="D113" s="251"/>
      <c r="E113" s="170"/>
      <c r="F113" s="170"/>
      <c r="G113" s="170"/>
      <c r="H113" s="170"/>
      <c r="I113" s="170"/>
    </row>
    <row r="114" spans="1:9" ht="12" customHeight="1" x14ac:dyDescent="0.25">
      <c r="A114" s="10" t="s">
        <v>283</v>
      </c>
      <c r="B114" s="60" t="s">
        <v>290</v>
      </c>
      <c r="C114" s="279">
        <f t="shared" si="21"/>
        <v>0</v>
      </c>
      <c r="D114" s="251"/>
      <c r="E114" s="170"/>
      <c r="F114" s="170"/>
      <c r="G114" s="170"/>
      <c r="H114" s="170"/>
      <c r="I114" s="170"/>
    </row>
    <row r="115" spans="1:9" ht="12" customHeight="1" x14ac:dyDescent="0.25">
      <c r="A115" s="11" t="s">
        <v>402</v>
      </c>
      <c r="B115" s="60" t="s">
        <v>291</v>
      </c>
      <c r="C115" s="279">
        <f t="shared" si="21"/>
        <v>0</v>
      </c>
      <c r="D115" s="251"/>
      <c r="E115" s="170"/>
      <c r="F115" s="170"/>
      <c r="G115" s="170"/>
      <c r="H115" s="170"/>
      <c r="I115" s="170"/>
    </row>
    <row r="116" spans="1:9" ht="12" customHeight="1" x14ac:dyDescent="0.25">
      <c r="A116" s="13" t="s">
        <v>403</v>
      </c>
      <c r="B116" s="60" t="s">
        <v>292</v>
      </c>
      <c r="C116" s="276">
        <f t="shared" si="21"/>
        <v>21220129</v>
      </c>
      <c r="D116" s="248">
        <f>20497388-150000+1330000-457259</f>
        <v>21220129</v>
      </c>
      <c r="E116" s="114"/>
      <c r="F116" s="170"/>
      <c r="G116" s="170"/>
      <c r="H116" s="170"/>
      <c r="I116" s="170"/>
    </row>
    <row r="117" spans="1:9" ht="12" customHeight="1" x14ac:dyDescent="0.25">
      <c r="A117" s="11" t="s">
        <v>404</v>
      </c>
      <c r="B117" s="5" t="s">
        <v>47</v>
      </c>
      <c r="C117" s="279">
        <f t="shared" si="21"/>
        <v>0</v>
      </c>
      <c r="D117" s="248">
        <f t="shared" ref="D117:I117" si="22">SUM(D118:D119)</f>
        <v>0</v>
      </c>
      <c r="E117" s="248">
        <f t="shared" si="22"/>
        <v>0</v>
      </c>
      <c r="F117" s="248">
        <f t="shared" si="22"/>
        <v>0</v>
      </c>
      <c r="G117" s="248">
        <f t="shared" si="22"/>
        <v>0</v>
      </c>
      <c r="H117" s="248">
        <f t="shared" si="22"/>
        <v>0</v>
      </c>
      <c r="I117" s="24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79">
        <f t="shared" si="21"/>
        <v>0</v>
      </c>
      <c r="D118" s="251"/>
      <c r="E118" s="170"/>
      <c r="F118" s="114"/>
      <c r="G118" s="114"/>
      <c r="H118" s="114"/>
      <c r="I118" s="114"/>
    </row>
    <row r="119" spans="1:9" ht="12" customHeight="1" thickBot="1" x14ac:dyDescent="0.3">
      <c r="A119" s="15" t="s">
        <v>407</v>
      </c>
      <c r="B119" s="239" t="s">
        <v>408</v>
      </c>
      <c r="C119" s="279">
        <f t="shared" si="21"/>
        <v>0</v>
      </c>
      <c r="D119" s="272"/>
      <c r="E119" s="256"/>
      <c r="F119" s="256"/>
      <c r="G119" s="256"/>
      <c r="H119" s="256"/>
      <c r="I119" s="256"/>
    </row>
    <row r="120" spans="1:9" ht="12" customHeight="1" thickBot="1" x14ac:dyDescent="0.3">
      <c r="A120" s="240" t="s">
        <v>17</v>
      </c>
      <c r="B120" s="241" t="s">
        <v>293</v>
      </c>
      <c r="C120" s="110">
        <f t="shared" si="21"/>
        <v>171580415</v>
      </c>
      <c r="D120" s="257">
        <f t="shared" ref="D120:I120" si="23">+D121+D123+D125</f>
        <v>146101774</v>
      </c>
      <c r="E120" s="110">
        <f t="shared" si="23"/>
        <v>0</v>
      </c>
      <c r="F120" s="242">
        <f t="shared" si="23"/>
        <v>0</v>
      </c>
      <c r="G120" s="242">
        <f t="shared" si="23"/>
        <v>484000</v>
      </c>
      <c r="H120" s="242">
        <f t="shared" si="23"/>
        <v>0</v>
      </c>
      <c r="I120" s="242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1137">
        <f t="shared" si="21"/>
        <v>113322996</v>
      </c>
      <c r="D121" s="677">
        <f>47592654+8776150-457258+5064553+300000+889000+25963256+200000</f>
        <v>88328355</v>
      </c>
      <c r="E121" s="214"/>
      <c r="F121" s="214"/>
      <c r="G121" s="214"/>
      <c r="H121" s="214"/>
      <c r="I121" s="214">
        <v>24994641</v>
      </c>
    </row>
    <row r="122" spans="1:9" ht="12" customHeight="1" x14ac:dyDescent="0.25">
      <c r="A122" s="12" t="s">
        <v>92</v>
      </c>
      <c r="B122" s="9" t="s">
        <v>297</v>
      </c>
      <c r="C122" s="276">
        <f t="shared" si="21"/>
        <v>1053800</v>
      </c>
      <c r="D122" s="1199"/>
      <c r="E122" s="214"/>
      <c r="F122" s="214"/>
      <c r="G122" s="214"/>
      <c r="H122" s="214"/>
      <c r="I122" s="214">
        <v>1053800</v>
      </c>
    </row>
    <row r="123" spans="1:9" ht="12" customHeight="1" x14ac:dyDescent="0.25">
      <c r="A123" s="12" t="s">
        <v>93</v>
      </c>
      <c r="B123" s="9" t="s">
        <v>138</v>
      </c>
      <c r="C123" s="276">
        <f t="shared" si="21"/>
        <v>56398345</v>
      </c>
      <c r="D123" s="248">
        <f>49000000+7398345</f>
        <v>56398345</v>
      </c>
      <c r="E123" s="114"/>
      <c r="F123" s="114"/>
      <c r="G123" s="114"/>
      <c r="H123" s="114"/>
      <c r="I123" s="114"/>
    </row>
    <row r="124" spans="1:9" ht="12" customHeight="1" x14ac:dyDescent="0.25">
      <c r="A124" s="12" t="s">
        <v>94</v>
      </c>
      <c r="B124" s="9" t="s">
        <v>298</v>
      </c>
      <c r="C124" s="666">
        <f t="shared" si="21"/>
        <v>0</v>
      </c>
      <c r="D124" s="248"/>
      <c r="E124" s="469"/>
      <c r="F124" s="248"/>
      <c r="G124" s="248"/>
      <c r="H124" s="248"/>
      <c r="I124" s="248"/>
    </row>
    <row r="125" spans="1:9" ht="12" customHeight="1" x14ac:dyDescent="0.25">
      <c r="A125" s="12" t="s">
        <v>95</v>
      </c>
      <c r="B125" s="107" t="s">
        <v>159</v>
      </c>
      <c r="C125" s="248">
        <f>SUM(C126:C133)</f>
        <v>1859074</v>
      </c>
      <c r="D125" s="248">
        <f t="shared" ref="D125:I125" si="24">SUM(D126:D133)</f>
        <v>1375074</v>
      </c>
      <c r="E125" s="248">
        <f t="shared" si="24"/>
        <v>0</v>
      </c>
      <c r="F125" s="248">
        <f t="shared" si="24"/>
        <v>0</v>
      </c>
      <c r="G125" s="248">
        <f t="shared" si="24"/>
        <v>484000</v>
      </c>
      <c r="H125" s="248">
        <f t="shared" si="24"/>
        <v>0</v>
      </c>
      <c r="I125" s="248">
        <f t="shared" si="24"/>
        <v>0</v>
      </c>
    </row>
    <row r="126" spans="1:9" ht="12" customHeight="1" x14ac:dyDescent="0.25">
      <c r="A126" s="12" t="s">
        <v>104</v>
      </c>
      <c r="B126" s="106" t="s">
        <v>358</v>
      </c>
      <c r="C126" s="279">
        <f t="shared" si="21"/>
        <v>0</v>
      </c>
      <c r="D126" s="99"/>
      <c r="E126" s="99"/>
      <c r="F126" s="248"/>
      <c r="G126" s="248"/>
      <c r="H126" s="248"/>
      <c r="I126" s="248"/>
    </row>
    <row r="127" spans="1:9" ht="12" customHeight="1" x14ac:dyDescent="0.25">
      <c r="A127" s="12" t="s">
        <v>106</v>
      </c>
      <c r="B127" s="177" t="s">
        <v>303</v>
      </c>
      <c r="C127" s="279">
        <f t="shared" si="21"/>
        <v>0</v>
      </c>
      <c r="D127" s="99"/>
      <c r="E127" s="99"/>
      <c r="F127" s="248"/>
      <c r="G127" s="248"/>
      <c r="H127" s="248"/>
      <c r="I127" s="248"/>
    </row>
    <row r="128" spans="1:9" x14ac:dyDescent="0.25">
      <c r="A128" s="12" t="s">
        <v>139</v>
      </c>
      <c r="B128" s="59" t="s">
        <v>286</v>
      </c>
      <c r="C128" s="279">
        <f t="shared" si="21"/>
        <v>0</v>
      </c>
      <c r="D128" s="99"/>
      <c r="E128" s="99"/>
      <c r="F128" s="248"/>
      <c r="G128" s="248"/>
      <c r="H128" s="248"/>
      <c r="I128" s="248"/>
    </row>
    <row r="129" spans="1:9" ht="12" customHeight="1" x14ac:dyDescent="0.25">
      <c r="A129" s="12" t="s">
        <v>140</v>
      </c>
      <c r="B129" s="59" t="s">
        <v>302</v>
      </c>
      <c r="C129" s="276">
        <f t="shared" si="21"/>
        <v>457259</v>
      </c>
      <c r="D129" s="99">
        <v>457259</v>
      </c>
      <c r="E129" s="99"/>
      <c r="F129" s="248"/>
      <c r="G129" s="248"/>
      <c r="H129" s="248"/>
      <c r="I129" s="248"/>
    </row>
    <row r="130" spans="1:9" ht="12" customHeight="1" x14ac:dyDescent="0.25">
      <c r="A130" s="12" t="s">
        <v>141</v>
      </c>
      <c r="B130" s="59" t="s">
        <v>301</v>
      </c>
      <c r="C130" s="279">
        <f t="shared" si="21"/>
        <v>0</v>
      </c>
      <c r="D130" s="99"/>
      <c r="E130" s="99"/>
      <c r="F130" s="248"/>
      <c r="G130" s="248"/>
      <c r="H130" s="248"/>
      <c r="I130" s="248"/>
    </row>
    <row r="131" spans="1:9" ht="12" customHeight="1" x14ac:dyDescent="0.25">
      <c r="A131" s="12" t="s">
        <v>294</v>
      </c>
      <c r="B131" s="59" t="s">
        <v>289</v>
      </c>
      <c r="C131" s="279">
        <f t="shared" si="21"/>
        <v>0</v>
      </c>
      <c r="D131" s="99"/>
      <c r="E131" s="99"/>
      <c r="F131" s="248"/>
      <c r="G131" s="248"/>
      <c r="H131" s="248"/>
      <c r="I131" s="248"/>
    </row>
    <row r="132" spans="1:9" ht="12" customHeight="1" x14ac:dyDescent="0.25">
      <c r="A132" s="12" t="s">
        <v>295</v>
      </c>
      <c r="B132" s="59" t="s">
        <v>300</v>
      </c>
      <c r="C132" s="279">
        <f t="shared" si="21"/>
        <v>0</v>
      </c>
      <c r="D132" s="99"/>
      <c r="E132" s="99"/>
      <c r="F132" s="248"/>
      <c r="G132" s="248"/>
      <c r="H132" s="248"/>
      <c r="I132" s="248"/>
    </row>
    <row r="133" spans="1:9" ht="16.5" thickBot="1" x14ac:dyDescent="0.3">
      <c r="A133" s="10" t="s">
        <v>296</v>
      </c>
      <c r="B133" s="59" t="s">
        <v>299</v>
      </c>
      <c r="C133" s="669">
        <f t="shared" si="21"/>
        <v>1401815</v>
      </c>
      <c r="D133" s="251">
        <f>150000+767815</f>
        <v>917815</v>
      </c>
      <c r="E133" s="251"/>
      <c r="F133" s="251"/>
      <c r="G133" s="251">
        <v>484000</v>
      </c>
      <c r="H133" s="251"/>
      <c r="I133" s="251"/>
    </row>
    <row r="134" spans="1:9" ht="12" customHeight="1" thickBot="1" x14ac:dyDescent="0.3">
      <c r="A134" s="17" t="s">
        <v>18</v>
      </c>
      <c r="B134" s="54" t="s">
        <v>409</v>
      </c>
      <c r="C134" s="110">
        <f t="shared" si="21"/>
        <v>1313670511</v>
      </c>
      <c r="D134" s="257">
        <f t="shared" ref="D134:I134" si="25">+D99+D120</f>
        <v>426614778</v>
      </c>
      <c r="E134" s="110">
        <f t="shared" si="25"/>
        <v>108914</v>
      </c>
      <c r="F134" s="110">
        <f t="shared" si="25"/>
        <v>0</v>
      </c>
      <c r="G134" s="110">
        <f t="shared" si="25"/>
        <v>1905064</v>
      </c>
      <c r="H134" s="110">
        <f t="shared" si="25"/>
        <v>0</v>
      </c>
      <c r="I134" s="110">
        <f t="shared" si="25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0">
        <f t="shared" si="21"/>
        <v>1668000</v>
      </c>
      <c r="D135" s="257">
        <f t="shared" ref="D135:I135" si="26">+D136+D137+D138</f>
        <v>1668000</v>
      </c>
      <c r="E135" s="110">
        <f t="shared" si="26"/>
        <v>0</v>
      </c>
      <c r="F135" s="110">
        <f t="shared" si="26"/>
        <v>0</v>
      </c>
      <c r="G135" s="110">
        <f t="shared" si="26"/>
        <v>0</v>
      </c>
      <c r="H135" s="110">
        <f t="shared" si="26"/>
        <v>0</v>
      </c>
      <c r="I135" s="110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6">
        <f t="shared" si="21"/>
        <v>1668000</v>
      </c>
      <c r="D136" s="248">
        <v>1668000</v>
      </c>
      <c r="E136" s="248"/>
      <c r="F136" s="248"/>
      <c r="G136" s="248"/>
      <c r="H136" s="248"/>
      <c r="I136" s="248"/>
    </row>
    <row r="137" spans="1:9" ht="12" customHeight="1" x14ac:dyDescent="0.25">
      <c r="A137" s="12" t="s">
        <v>198</v>
      </c>
      <c r="B137" s="9" t="s">
        <v>412</v>
      </c>
      <c r="C137" s="279">
        <f t="shared" si="21"/>
        <v>0</v>
      </c>
      <c r="D137" s="248"/>
      <c r="E137" s="99"/>
      <c r="F137" s="99"/>
      <c r="G137" s="99"/>
      <c r="H137" s="99"/>
      <c r="I137" s="99"/>
    </row>
    <row r="138" spans="1:9" ht="12" customHeight="1" thickBot="1" x14ac:dyDescent="0.3">
      <c r="A138" s="10" t="s">
        <v>199</v>
      </c>
      <c r="B138" s="9" t="s">
        <v>413</v>
      </c>
      <c r="C138" s="280">
        <f t="shared" si="21"/>
        <v>0</v>
      </c>
      <c r="D138" s="99"/>
      <c r="E138" s="99"/>
      <c r="F138" s="99"/>
      <c r="G138" s="99"/>
      <c r="H138" s="99"/>
      <c r="I138" s="99"/>
    </row>
    <row r="139" spans="1:9" ht="12" customHeight="1" thickBot="1" x14ac:dyDescent="0.3">
      <c r="A139" s="17" t="s">
        <v>20</v>
      </c>
      <c r="B139" s="54" t="s">
        <v>414</v>
      </c>
      <c r="C139" s="281">
        <f t="shared" si="21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6">
        <f t="shared" si="21"/>
        <v>0</v>
      </c>
      <c r="D140" s="99"/>
      <c r="E140" s="99"/>
      <c r="F140" s="99"/>
      <c r="G140" s="99"/>
      <c r="H140" s="99"/>
      <c r="I140" s="99"/>
    </row>
    <row r="141" spans="1:9" ht="12" customHeight="1" x14ac:dyDescent="0.25">
      <c r="A141" s="12" t="s">
        <v>79</v>
      </c>
      <c r="B141" s="6" t="s">
        <v>416</v>
      </c>
      <c r="C141" s="279">
        <f t="shared" si="21"/>
        <v>0</v>
      </c>
      <c r="D141" s="99"/>
      <c r="E141" s="99"/>
      <c r="F141" s="99"/>
      <c r="G141" s="99"/>
      <c r="H141" s="99"/>
      <c r="I141" s="99"/>
    </row>
    <row r="142" spans="1:9" ht="12" customHeight="1" x14ac:dyDescent="0.25">
      <c r="A142" s="12" t="s">
        <v>80</v>
      </c>
      <c r="B142" s="6" t="s">
        <v>417</v>
      </c>
      <c r="C142" s="279">
        <f t="shared" si="21"/>
        <v>0</v>
      </c>
      <c r="D142" s="99"/>
      <c r="E142" s="99"/>
      <c r="F142" s="99"/>
      <c r="G142" s="99"/>
      <c r="H142" s="99"/>
      <c r="I142" s="99"/>
    </row>
    <row r="143" spans="1:9" ht="12" customHeight="1" x14ac:dyDescent="0.25">
      <c r="A143" s="12" t="s">
        <v>126</v>
      </c>
      <c r="B143" s="6" t="s">
        <v>418</v>
      </c>
      <c r="C143" s="279">
        <f t="shared" si="21"/>
        <v>0</v>
      </c>
      <c r="D143" s="99"/>
      <c r="E143" s="99"/>
      <c r="F143" s="99"/>
      <c r="G143" s="99"/>
      <c r="H143" s="99"/>
      <c r="I143" s="99"/>
    </row>
    <row r="144" spans="1:9" ht="12" customHeight="1" x14ac:dyDescent="0.25">
      <c r="A144" s="12" t="s">
        <v>127</v>
      </c>
      <c r="B144" s="6" t="s">
        <v>419</v>
      </c>
      <c r="C144" s="279">
        <f t="shared" si="21"/>
        <v>0</v>
      </c>
      <c r="D144" s="99"/>
      <c r="E144" s="99"/>
      <c r="F144" s="99"/>
      <c r="G144" s="99"/>
      <c r="H144" s="99"/>
      <c r="I144" s="99"/>
    </row>
    <row r="145" spans="1:12" ht="12" customHeight="1" thickBot="1" x14ac:dyDescent="0.3">
      <c r="A145" s="10" t="s">
        <v>128</v>
      </c>
      <c r="B145" s="6" t="s">
        <v>420</v>
      </c>
      <c r="C145" s="280">
        <f t="shared" si="21"/>
        <v>0</v>
      </c>
      <c r="D145" s="99"/>
      <c r="E145" s="99"/>
      <c r="F145" s="99"/>
      <c r="G145" s="99"/>
      <c r="H145" s="99"/>
      <c r="I145" s="99"/>
    </row>
    <row r="146" spans="1:12" ht="12" customHeight="1" thickBot="1" x14ac:dyDescent="0.3">
      <c r="A146" s="17" t="s">
        <v>21</v>
      </c>
      <c r="B146" s="54" t="s">
        <v>421</v>
      </c>
      <c r="C146" s="110">
        <f t="shared" si="21"/>
        <v>0</v>
      </c>
      <c r="D146" s="259">
        <f t="shared" ref="D146:I146" si="27">+D147+D148+D149+D150</f>
        <v>0</v>
      </c>
      <c r="E146" s="115">
        <f t="shared" si="27"/>
        <v>0</v>
      </c>
      <c r="F146" s="115">
        <f t="shared" si="27"/>
        <v>0</v>
      </c>
      <c r="G146" s="115">
        <f t="shared" si="27"/>
        <v>0</v>
      </c>
      <c r="H146" s="115">
        <f t="shared" si="27"/>
        <v>0</v>
      </c>
      <c r="I146" s="115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6">
        <f t="shared" si="21"/>
        <v>0</v>
      </c>
      <c r="D147" s="99"/>
      <c r="E147" s="99"/>
      <c r="F147" s="99"/>
      <c r="G147" s="99"/>
      <c r="H147" s="99"/>
      <c r="I147" s="99"/>
    </row>
    <row r="148" spans="1:12" ht="12" customHeight="1" x14ac:dyDescent="0.25">
      <c r="A148" s="12" t="s">
        <v>82</v>
      </c>
      <c r="B148" s="6" t="s">
        <v>305</v>
      </c>
      <c r="C148" s="279">
        <f t="shared" si="21"/>
        <v>0</v>
      </c>
      <c r="D148" s="99"/>
      <c r="E148" s="99"/>
      <c r="F148" s="99"/>
      <c r="G148" s="99"/>
      <c r="H148" s="99"/>
      <c r="I148" s="99"/>
    </row>
    <row r="149" spans="1:12" ht="12" customHeight="1" x14ac:dyDescent="0.25">
      <c r="A149" s="12" t="s">
        <v>218</v>
      </c>
      <c r="B149" s="6" t="s">
        <v>422</v>
      </c>
      <c r="C149" s="279">
        <f t="shared" si="21"/>
        <v>0</v>
      </c>
      <c r="D149" s="99"/>
      <c r="E149" s="99"/>
      <c r="F149" s="99"/>
      <c r="G149" s="99"/>
      <c r="H149" s="99"/>
      <c r="I149" s="99"/>
    </row>
    <row r="150" spans="1:12" ht="12" customHeight="1" thickBot="1" x14ac:dyDescent="0.3">
      <c r="A150" s="10" t="s">
        <v>219</v>
      </c>
      <c r="B150" s="4" t="s">
        <v>323</v>
      </c>
      <c r="C150" s="280">
        <f t="shared" si="21"/>
        <v>0</v>
      </c>
      <c r="D150" s="99"/>
      <c r="E150" s="99"/>
      <c r="F150" s="99"/>
      <c r="G150" s="99"/>
      <c r="H150" s="99"/>
      <c r="I150" s="99"/>
    </row>
    <row r="151" spans="1:12" ht="12" customHeight="1" thickBot="1" x14ac:dyDescent="0.3">
      <c r="A151" s="17" t="s">
        <v>22</v>
      </c>
      <c r="B151" s="54" t="s">
        <v>423</v>
      </c>
      <c r="C151" s="110">
        <f t="shared" si="21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6">
        <f t="shared" si="21"/>
        <v>0</v>
      </c>
      <c r="D152" s="99"/>
      <c r="E152" s="99"/>
      <c r="F152" s="99"/>
      <c r="G152" s="99"/>
      <c r="H152" s="99"/>
      <c r="I152" s="99"/>
    </row>
    <row r="153" spans="1:12" ht="12" customHeight="1" x14ac:dyDescent="0.25">
      <c r="A153" s="12" t="s">
        <v>84</v>
      </c>
      <c r="B153" s="6" t="s">
        <v>425</v>
      </c>
      <c r="C153" s="279">
        <f t="shared" si="21"/>
        <v>0</v>
      </c>
      <c r="D153" s="99"/>
      <c r="E153" s="99"/>
      <c r="F153" s="99"/>
      <c r="G153" s="99"/>
      <c r="H153" s="99"/>
      <c r="I153" s="99"/>
    </row>
    <row r="154" spans="1:12" ht="12" customHeight="1" x14ac:dyDescent="0.25">
      <c r="A154" s="12" t="s">
        <v>230</v>
      </c>
      <c r="B154" s="6" t="s">
        <v>426</v>
      </c>
      <c r="C154" s="279">
        <f t="shared" si="21"/>
        <v>0</v>
      </c>
      <c r="D154" s="99"/>
      <c r="E154" s="99"/>
      <c r="F154" s="99"/>
      <c r="G154" s="99"/>
      <c r="H154" s="99"/>
      <c r="I154" s="99"/>
    </row>
    <row r="155" spans="1:12" ht="12" customHeight="1" x14ac:dyDescent="0.25">
      <c r="A155" s="12" t="s">
        <v>231</v>
      </c>
      <c r="B155" s="6" t="s">
        <v>427</v>
      </c>
      <c r="C155" s="279">
        <f t="shared" si="21"/>
        <v>0</v>
      </c>
      <c r="D155" s="99"/>
      <c r="E155" s="99"/>
      <c r="F155" s="99"/>
      <c r="G155" s="99"/>
      <c r="H155" s="99"/>
      <c r="I155" s="99"/>
    </row>
    <row r="156" spans="1:12" ht="12" customHeight="1" thickBot="1" x14ac:dyDescent="0.3">
      <c r="A156" s="12" t="s">
        <v>428</v>
      </c>
      <c r="B156" s="6" t="s">
        <v>429</v>
      </c>
      <c r="C156" s="280">
        <f t="shared" si="21"/>
        <v>0</v>
      </c>
      <c r="D156" s="100"/>
      <c r="E156" s="100"/>
      <c r="F156" s="99"/>
      <c r="G156" s="99"/>
      <c r="H156" s="99"/>
      <c r="I156" s="99"/>
    </row>
    <row r="157" spans="1:12" ht="12" customHeight="1" thickBot="1" x14ac:dyDescent="0.3">
      <c r="A157" s="17" t="s">
        <v>23</v>
      </c>
      <c r="B157" s="54" t="s">
        <v>430</v>
      </c>
      <c r="C157" s="110">
        <f t="shared" si="21"/>
        <v>0</v>
      </c>
      <c r="D157" s="264"/>
      <c r="E157" s="118"/>
      <c r="F157" s="243"/>
      <c r="G157" s="243"/>
      <c r="H157" s="243"/>
      <c r="I157" s="243"/>
    </row>
    <row r="158" spans="1:12" ht="12" customHeight="1" thickBot="1" x14ac:dyDescent="0.3">
      <c r="A158" s="17" t="s">
        <v>24</v>
      </c>
      <c r="B158" s="54" t="s">
        <v>431</v>
      </c>
      <c r="C158" s="110">
        <f t="shared" si="21"/>
        <v>0</v>
      </c>
      <c r="D158" s="264"/>
      <c r="E158" s="118"/>
      <c r="F158" s="243"/>
      <c r="G158" s="243"/>
      <c r="H158" s="243"/>
      <c r="I158" s="243"/>
    </row>
    <row r="159" spans="1:12" ht="15" customHeight="1" thickBot="1" x14ac:dyDescent="0.3">
      <c r="A159" s="17" t="s">
        <v>25</v>
      </c>
      <c r="B159" s="54" t="s">
        <v>432</v>
      </c>
      <c r="C159" s="110">
        <f t="shared" si="21"/>
        <v>1668000</v>
      </c>
      <c r="D159" s="265">
        <f t="shared" ref="D159:I159" si="28">+D135+D139+D146+D151+D157+D158</f>
        <v>1668000</v>
      </c>
      <c r="E159" s="189">
        <f t="shared" si="28"/>
        <v>0</v>
      </c>
      <c r="F159" s="189">
        <f t="shared" si="28"/>
        <v>0</v>
      </c>
      <c r="G159" s="189">
        <f t="shared" si="28"/>
        <v>0</v>
      </c>
      <c r="H159" s="189">
        <f t="shared" si="28"/>
        <v>0</v>
      </c>
      <c r="I159" s="189">
        <f t="shared" si="28"/>
        <v>0</v>
      </c>
      <c r="J159" s="190"/>
      <c r="K159" s="190"/>
      <c r="L159" s="190"/>
    </row>
    <row r="160" spans="1:12" s="179" customFormat="1" ht="12.95" customHeight="1" thickBot="1" x14ac:dyDescent="0.25">
      <c r="A160" s="108" t="s">
        <v>26</v>
      </c>
      <c r="B160" s="166" t="s">
        <v>433</v>
      </c>
      <c r="C160" s="110">
        <f t="shared" si="21"/>
        <v>1315338511</v>
      </c>
      <c r="D160" s="265">
        <f t="shared" ref="D160:I160" si="29">+D134+D159</f>
        <v>428282778</v>
      </c>
      <c r="E160" s="189">
        <f t="shared" si="29"/>
        <v>108914</v>
      </c>
      <c r="F160" s="189">
        <f t="shared" si="29"/>
        <v>0</v>
      </c>
      <c r="G160" s="189">
        <f t="shared" si="29"/>
        <v>1905064</v>
      </c>
      <c r="H160" s="189">
        <f t="shared" si="29"/>
        <v>0</v>
      </c>
      <c r="I160" s="189">
        <f t="shared" si="29"/>
        <v>885041755</v>
      </c>
    </row>
    <row r="161" spans="1:4" x14ac:dyDescent="0.25">
      <c r="A161" s="1324" t="s">
        <v>306</v>
      </c>
      <c r="B161" s="1324"/>
      <c r="C161" s="1324"/>
    </row>
    <row r="162" spans="1:4" ht="15" customHeight="1" thickBot="1" x14ac:dyDescent="0.3">
      <c r="A162" s="1327" t="s">
        <v>116</v>
      </c>
      <c r="B162" s="1327"/>
      <c r="C162" s="119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0">
        <f>+C69-C134</f>
        <v>-398468310</v>
      </c>
    </row>
    <row r="164" spans="1:4" ht="21.75" thickBot="1" x14ac:dyDescent="0.3">
      <c r="A164" s="17" t="s">
        <v>17</v>
      </c>
      <c r="B164" s="22" t="s">
        <v>716</v>
      </c>
      <c r="C164" s="110">
        <f>+C93-C159</f>
        <v>45513164</v>
      </c>
    </row>
    <row r="167" spans="1:4" x14ac:dyDescent="0.25">
      <c r="D167" s="190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workbookViewId="0">
      <selection activeCell="F17" sqref="F17"/>
    </sheetView>
  </sheetViews>
  <sheetFormatPr defaultRowHeight="12.75" x14ac:dyDescent="0.2"/>
  <cols>
    <col min="1" max="1" width="5.83203125" style="549" customWidth="1"/>
    <col min="2" max="2" width="54.83203125" style="304" customWidth="1"/>
    <col min="3" max="4" width="17.6640625" style="304" customWidth="1"/>
    <col min="5" max="16384" width="9.33203125" style="304"/>
  </cols>
  <sheetData>
    <row r="1" spans="1:9" ht="12.75" customHeight="1" x14ac:dyDescent="0.2">
      <c r="A1" s="1418" t="str">
        <f>CONCATENATE("28. melléklet ",ALAPADATOK!A7," ",ALAPADATOK!B7," ",ALAPADATOK!C7," ",ALAPADATOK!D7," ",ALAPADATOK!E7," ",ALAPADATOK!F7," ",ALAPADATOK!G7," ",ALAPADATOK!H7)</f>
        <v>28. melléklet az 5 / 2022. ( II.24. ) önkormányzati rendelethez</v>
      </c>
      <c r="B1" s="1418"/>
      <c r="C1" s="1418"/>
      <c r="D1" s="1418"/>
      <c r="E1" s="31"/>
      <c r="F1" s="31"/>
      <c r="G1" s="31"/>
      <c r="H1" s="31"/>
      <c r="I1" s="31"/>
    </row>
    <row r="2" spans="1:9" ht="12.75" customHeight="1" x14ac:dyDescent="0.2">
      <c r="A2" s="1418" t="s">
        <v>1024</v>
      </c>
      <c r="B2" s="1418"/>
      <c r="C2" s="1418"/>
      <c r="D2" s="1418"/>
      <c r="E2" s="31"/>
      <c r="F2" s="31"/>
      <c r="G2" s="31"/>
      <c r="H2" s="31"/>
      <c r="I2" s="31"/>
    </row>
    <row r="4" spans="1:9" ht="15.75" x14ac:dyDescent="0.25">
      <c r="B4" s="1427" t="s">
        <v>1032</v>
      </c>
      <c r="C4" s="1427"/>
      <c r="D4" s="1427"/>
    </row>
    <row r="5" spans="1:9" s="33" customFormat="1" ht="15.75" thickBot="1" x14ac:dyDescent="0.25">
      <c r="A5" s="421"/>
      <c r="B5" s="1136"/>
      <c r="D5" s="422" t="s">
        <v>489</v>
      </c>
    </row>
    <row r="6" spans="1:9" s="645" customFormat="1" ht="48" customHeight="1" thickBot="1" x14ac:dyDescent="0.25">
      <c r="A6" s="423" t="s">
        <v>14</v>
      </c>
      <c r="B6" s="419" t="s">
        <v>15</v>
      </c>
      <c r="C6" s="419" t="s">
        <v>531</v>
      </c>
      <c r="D6" s="420" t="s">
        <v>532</v>
      </c>
    </row>
    <row r="7" spans="1:9" s="645" customFormat="1" ht="14.1" customHeight="1" thickBot="1" x14ac:dyDescent="0.25">
      <c r="A7" s="71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24" t="s">
        <v>16</v>
      </c>
      <c r="B8" s="425" t="s">
        <v>533</v>
      </c>
      <c r="C8" s="426"/>
      <c r="D8" s="427"/>
    </row>
    <row r="9" spans="1:9" ht="18" customHeight="1" x14ac:dyDescent="0.2">
      <c r="A9" s="428" t="s">
        <v>17</v>
      </c>
      <c r="B9" s="429" t="s">
        <v>534</v>
      </c>
      <c r="C9" s="430"/>
      <c r="D9" s="36"/>
    </row>
    <row r="10" spans="1:9" ht="18" customHeight="1" x14ac:dyDescent="0.2">
      <c r="A10" s="428" t="s">
        <v>18</v>
      </c>
      <c r="B10" s="429" t="s">
        <v>535</v>
      </c>
      <c r="C10" s="430"/>
      <c r="D10" s="36"/>
    </row>
    <row r="11" spans="1:9" ht="18" customHeight="1" x14ac:dyDescent="0.2">
      <c r="A11" s="428" t="s">
        <v>19</v>
      </c>
      <c r="B11" s="429" t="s">
        <v>536</v>
      </c>
      <c r="C11" s="430"/>
      <c r="D11" s="36"/>
    </row>
    <row r="12" spans="1:9" ht="18" customHeight="1" x14ac:dyDescent="0.2">
      <c r="A12" s="428" t="s">
        <v>20</v>
      </c>
      <c r="B12" s="429" t="s">
        <v>537</v>
      </c>
      <c r="C12" s="431">
        <f>SUM(C13:C18)</f>
        <v>34788000</v>
      </c>
      <c r="D12" s="432">
        <f>SUM(D13:D18)</f>
        <v>29288000</v>
      </c>
    </row>
    <row r="13" spans="1:9" ht="18" customHeight="1" x14ac:dyDescent="0.2">
      <c r="A13" s="428" t="s">
        <v>21</v>
      </c>
      <c r="B13" s="429" t="s">
        <v>538</v>
      </c>
      <c r="C13" s="430"/>
      <c r="D13" s="36"/>
    </row>
    <row r="14" spans="1:9" ht="18" customHeight="1" x14ac:dyDescent="0.2">
      <c r="A14" s="428" t="s">
        <v>22</v>
      </c>
      <c r="B14" s="433" t="s">
        <v>539</v>
      </c>
      <c r="C14" s="430"/>
      <c r="D14" s="36"/>
    </row>
    <row r="15" spans="1:9" ht="18" customHeight="1" x14ac:dyDescent="0.2">
      <c r="A15" s="428" t="s">
        <v>24</v>
      </c>
      <c r="B15" s="433" t="s">
        <v>540</v>
      </c>
      <c r="C15" s="430">
        <v>34788000</v>
      </c>
      <c r="D15" s="434">
        <v>29288000</v>
      </c>
    </row>
    <row r="16" spans="1:9" ht="18" customHeight="1" x14ac:dyDescent="0.2">
      <c r="A16" s="428" t="s">
        <v>25</v>
      </c>
      <c r="B16" s="433" t="s">
        <v>541</v>
      </c>
      <c r="C16" s="430"/>
      <c r="D16" s="36"/>
    </row>
    <row r="17" spans="1:4" ht="18" customHeight="1" x14ac:dyDescent="0.2">
      <c r="A17" s="428" t="s">
        <v>26</v>
      </c>
      <c r="B17" s="433" t="s">
        <v>542</v>
      </c>
      <c r="C17" s="430"/>
      <c r="D17" s="36"/>
    </row>
    <row r="18" spans="1:4" ht="22.5" customHeight="1" x14ac:dyDescent="0.2">
      <c r="A18" s="428" t="s">
        <v>27</v>
      </c>
      <c r="B18" s="433" t="s">
        <v>543</v>
      </c>
      <c r="C18" s="430"/>
      <c r="D18" s="36"/>
    </row>
    <row r="19" spans="1:4" ht="18" customHeight="1" x14ac:dyDescent="0.2">
      <c r="A19" s="428" t="s">
        <v>28</v>
      </c>
      <c r="B19" s="429" t="s">
        <v>544</v>
      </c>
      <c r="C19" s="430"/>
      <c r="D19" s="36"/>
    </row>
    <row r="20" spans="1:4" ht="18" customHeight="1" x14ac:dyDescent="0.2">
      <c r="A20" s="428" t="s">
        <v>29</v>
      </c>
      <c r="B20" s="429" t="s">
        <v>545</v>
      </c>
      <c r="C20" s="430"/>
      <c r="D20" s="36"/>
    </row>
    <row r="21" spans="1:4" ht="18" customHeight="1" x14ac:dyDescent="0.2">
      <c r="A21" s="428" t="s">
        <v>30</v>
      </c>
      <c r="B21" s="429" t="s">
        <v>546</v>
      </c>
      <c r="C21" s="430"/>
      <c r="D21" s="36"/>
    </row>
    <row r="22" spans="1:4" ht="18" customHeight="1" x14ac:dyDescent="0.2">
      <c r="A22" s="428" t="s">
        <v>31</v>
      </c>
      <c r="B22" s="429" t="s">
        <v>547</v>
      </c>
      <c r="C22" s="430"/>
      <c r="D22" s="36"/>
    </row>
    <row r="23" spans="1:4" ht="18" customHeight="1" x14ac:dyDescent="0.2">
      <c r="A23" s="428" t="s">
        <v>32</v>
      </c>
      <c r="B23" s="429" t="s">
        <v>548</v>
      </c>
      <c r="C23" s="430"/>
      <c r="D23" s="36"/>
    </row>
    <row r="24" spans="1:4" ht="18" customHeight="1" x14ac:dyDescent="0.2">
      <c r="A24" s="428" t="s">
        <v>33</v>
      </c>
      <c r="B24" s="435"/>
      <c r="C24" s="35"/>
      <c r="D24" s="36"/>
    </row>
    <row r="25" spans="1:4" ht="18" customHeight="1" x14ac:dyDescent="0.2">
      <c r="A25" s="428" t="s">
        <v>34</v>
      </c>
      <c r="B25" s="436"/>
      <c r="C25" s="35"/>
      <c r="D25" s="36"/>
    </row>
    <row r="26" spans="1:4" ht="18" customHeight="1" x14ac:dyDescent="0.2">
      <c r="A26" s="428" t="s">
        <v>35</v>
      </c>
      <c r="B26" s="436"/>
      <c r="C26" s="35"/>
      <c r="D26" s="36"/>
    </row>
    <row r="27" spans="1:4" ht="18" customHeight="1" x14ac:dyDescent="0.2">
      <c r="A27" s="428" t="s">
        <v>36</v>
      </c>
      <c r="B27" s="436"/>
      <c r="C27" s="35"/>
      <c r="D27" s="36"/>
    </row>
    <row r="28" spans="1:4" ht="18" customHeight="1" x14ac:dyDescent="0.2">
      <c r="A28" s="428" t="s">
        <v>37</v>
      </c>
      <c r="B28" s="436"/>
      <c r="C28" s="35"/>
      <c r="D28" s="36"/>
    </row>
    <row r="29" spans="1:4" ht="18" customHeight="1" x14ac:dyDescent="0.2">
      <c r="A29" s="428" t="s">
        <v>38</v>
      </c>
      <c r="B29" s="436"/>
      <c r="C29" s="35"/>
      <c r="D29" s="36"/>
    </row>
    <row r="30" spans="1:4" ht="18" customHeight="1" x14ac:dyDescent="0.2">
      <c r="A30" s="428" t="s">
        <v>39</v>
      </c>
      <c r="B30" s="436"/>
      <c r="C30" s="35"/>
      <c r="D30" s="36"/>
    </row>
    <row r="31" spans="1:4" ht="18" customHeight="1" x14ac:dyDescent="0.2">
      <c r="A31" s="428" t="s">
        <v>40</v>
      </c>
      <c r="B31" s="436"/>
      <c r="C31" s="35"/>
      <c r="D31" s="36"/>
    </row>
    <row r="32" spans="1:4" ht="18" customHeight="1" thickBot="1" x14ac:dyDescent="0.25">
      <c r="A32" s="437" t="s">
        <v>41</v>
      </c>
      <c r="B32" s="438"/>
      <c r="C32" s="439"/>
      <c r="D32" s="671"/>
    </row>
    <row r="33" spans="1:4" ht="18" customHeight="1" thickBot="1" x14ac:dyDescent="0.25">
      <c r="A33" s="74" t="s">
        <v>42</v>
      </c>
      <c r="B33" s="440" t="s">
        <v>49</v>
      </c>
      <c r="C33" s="441">
        <f>+C8+C9+C10+C11+C12+C19+C20+C21+C22+C23+C24+C25+C26+C27+C28+C29+C30+C31+C32</f>
        <v>34788000</v>
      </c>
      <c r="D33" s="442">
        <f>+D8+D9+D10+D11+D12+D19+D20+D21+D22+D23+D24+D25+D26+D27+D28+D29+D30+D31+D32</f>
        <v>29288000</v>
      </c>
    </row>
    <row r="34" spans="1:4" ht="8.25" customHeight="1" x14ac:dyDescent="0.2">
      <c r="A34" s="680"/>
      <c r="B34" s="1428"/>
      <c r="C34" s="1428"/>
      <c r="D34" s="1428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zoomScale="130" zoomScaleNormal="130" zoomScalePageLayoutView="85" workbookViewId="0">
      <selection activeCell="Q1" sqref="P1:Q1048576"/>
    </sheetView>
  </sheetViews>
  <sheetFormatPr defaultRowHeight="15.75" x14ac:dyDescent="0.25"/>
  <cols>
    <col min="1" max="1" width="7.83203125" style="40" customWidth="1"/>
    <col min="2" max="2" width="31.1640625" style="395" customWidth="1"/>
    <col min="3" max="13" width="12.5" style="395" customWidth="1"/>
    <col min="14" max="14" width="13.5" style="395" bestFit="1" customWidth="1"/>
    <col min="15" max="15" width="12.5" style="40" customWidth="1"/>
    <col min="16" max="16" width="14.6640625" style="644" hidden="1" customWidth="1"/>
    <col min="17" max="17" width="16.6640625" style="644" hidden="1" customWidth="1"/>
    <col min="18" max="18" width="9.33203125" style="395" customWidth="1"/>
    <col min="19" max="19" width="11" style="395" bestFit="1" customWidth="1"/>
    <col min="20" max="16384" width="9.33203125" style="395"/>
  </cols>
  <sheetData>
    <row r="1" spans="1:17" x14ac:dyDescent="0.25">
      <c r="A1" s="1429" t="str">
        <f>CONCATENATE("28. melléklet ",ALAPADATOK!A7," ",ALAPADATOK!B7," ",ALAPADATOK!C7," ",ALAPADATOK!D8," ",ALAPADATOK!E7," ",ALAPADATOK!F7," ",ALAPADATOK!G7," ",ALAPADATOK!H7)</f>
        <v>28. melléklet az 5 / 2023. ( II.24. ) önkormányzati rendelethez</v>
      </c>
      <c r="B1" s="1429"/>
      <c r="C1" s="1429"/>
      <c r="D1" s="1429"/>
      <c r="E1" s="1429"/>
      <c r="F1" s="1429"/>
      <c r="G1" s="1429"/>
      <c r="H1" s="1429"/>
      <c r="I1" s="1429"/>
      <c r="J1" s="1429"/>
      <c r="K1" s="1429"/>
      <c r="L1" s="1429"/>
      <c r="M1" s="1429"/>
      <c r="N1" s="1429"/>
      <c r="O1" s="1429"/>
    </row>
    <row r="2" spans="1:17" x14ac:dyDescent="0.25">
      <c r="A2" s="681"/>
      <c r="B2" s="681"/>
      <c r="C2" s="681"/>
      <c r="D2" s="681"/>
      <c r="E2" s="681"/>
      <c r="F2" s="681"/>
      <c r="G2" s="681"/>
      <c r="H2" s="681"/>
      <c r="I2" s="681"/>
      <c r="J2" s="681"/>
      <c r="K2" s="681"/>
      <c r="L2" s="681"/>
      <c r="M2" s="681"/>
      <c r="N2" s="681"/>
      <c r="O2" s="1131" t="s">
        <v>1025</v>
      </c>
    </row>
    <row r="3" spans="1:17" ht="18.75" x14ac:dyDescent="0.3">
      <c r="A3" s="1430" t="s">
        <v>1000</v>
      </c>
      <c r="B3" s="1431"/>
      <c r="C3" s="1431"/>
      <c r="D3" s="1431"/>
      <c r="E3" s="1431"/>
      <c r="F3" s="1431"/>
      <c r="G3" s="1431"/>
      <c r="H3" s="1431"/>
      <c r="I3" s="1431"/>
      <c r="J3" s="1431"/>
      <c r="K3" s="1431"/>
      <c r="L3" s="1431"/>
      <c r="M3" s="1431"/>
      <c r="N3" s="1431"/>
      <c r="O3" s="1431"/>
    </row>
    <row r="4" spans="1:17" ht="36" customHeight="1" thickBot="1" x14ac:dyDescent="0.35">
      <c r="A4" s="1430"/>
      <c r="B4" s="1430"/>
      <c r="C4" s="1430"/>
      <c r="D4" s="1430"/>
      <c r="E4" s="1430"/>
      <c r="F4" s="1430"/>
      <c r="G4" s="1430"/>
      <c r="H4" s="1430"/>
      <c r="I4" s="1430"/>
      <c r="J4" s="1430"/>
      <c r="K4" s="1430"/>
      <c r="L4" s="1430"/>
      <c r="M4" s="1430"/>
      <c r="N4" s="1430"/>
      <c r="O4" s="1430"/>
    </row>
    <row r="5" spans="1:17" ht="24.75" thickBot="1" x14ac:dyDescent="0.3">
      <c r="A5" s="306" t="s">
        <v>714</v>
      </c>
      <c r="B5" s="307" t="s">
        <v>57</v>
      </c>
      <c r="C5" s="307" t="s">
        <v>64</v>
      </c>
      <c r="D5" s="307" t="s">
        <v>65</v>
      </c>
      <c r="E5" s="307" t="s">
        <v>66</v>
      </c>
      <c r="F5" s="307" t="s">
        <v>67</v>
      </c>
      <c r="G5" s="307" t="s">
        <v>68</v>
      </c>
      <c r="H5" s="307" t="s">
        <v>69</v>
      </c>
      <c r="I5" s="307" t="s">
        <v>70</v>
      </c>
      <c r="J5" s="307" t="s">
        <v>915</v>
      </c>
      <c r="K5" s="307" t="s">
        <v>916</v>
      </c>
      <c r="L5" s="307" t="s">
        <v>917</v>
      </c>
      <c r="M5" s="307" t="s">
        <v>918</v>
      </c>
      <c r="N5" s="307" t="s">
        <v>919</v>
      </c>
      <c r="O5" s="308" t="s">
        <v>49</v>
      </c>
    </row>
    <row r="6" spans="1:17" s="42" customFormat="1" ht="15" customHeight="1" thickBot="1" x14ac:dyDescent="0.25">
      <c r="A6" s="41" t="s">
        <v>16</v>
      </c>
      <c r="B6" s="1432" t="s">
        <v>920</v>
      </c>
      <c r="C6" s="1433"/>
      <c r="D6" s="1433"/>
      <c r="E6" s="1433"/>
      <c r="F6" s="1433"/>
      <c r="G6" s="1433"/>
      <c r="H6" s="1433"/>
      <c r="I6" s="1433"/>
      <c r="J6" s="1433"/>
      <c r="K6" s="1433"/>
      <c r="L6" s="1433"/>
      <c r="M6" s="1433"/>
      <c r="N6" s="1433"/>
      <c r="O6" s="1434"/>
      <c r="P6" s="336"/>
      <c r="Q6" s="336"/>
    </row>
    <row r="7" spans="1:17" s="42" customFormat="1" ht="22.5" x14ac:dyDescent="0.2">
      <c r="A7" s="43" t="s">
        <v>17</v>
      </c>
      <c r="B7" s="216" t="s">
        <v>307</v>
      </c>
      <c r="C7" s="250">
        <f>137500000-277663</f>
        <v>137222337</v>
      </c>
      <c r="D7" s="250">
        <f>137500000-277665</f>
        <v>137222335</v>
      </c>
      <c r="E7" s="250">
        <f>137500000-277665</f>
        <v>137222335</v>
      </c>
      <c r="F7" s="250">
        <f>137500000+26223000-277665-4000000</f>
        <v>159445335</v>
      </c>
      <c r="G7" s="250">
        <f>137500000-277665</f>
        <v>137222335</v>
      </c>
      <c r="H7" s="250">
        <f>137500000+50000000-277665+1055000+8368396</f>
        <v>196645731</v>
      </c>
      <c r="I7" s="250">
        <f>137500000-277665+1568677</f>
        <v>138791012</v>
      </c>
      <c r="J7" s="250">
        <f>137500000-277665+1568677</f>
        <v>138791012</v>
      </c>
      <c r="K7" s="250">
        <f>137500000-277665+1568677</f>
        <v>138791012</v>
      </c>
      <c r="L7" s="250">
        <f>137500000+26223000-277665+1568677</f>
        <v>165014012</v>
      </c>
      <c r="M7" s="250">
        <f>137500000-277665+1568677</f>
        <v>138791012</v>
      </c>
      <c r="N7" s="1305">
        <f>137500000+232489258-277665+1568675+54489990-253571772</f>
        <v>172198486</v>
      </c>
      <c r="O7" s="339">
        <f t="shared" ref="O7:O15" si="0">SUM(C7:N7)</f>
        <v>1797356954</v>
      </c>
      <c r="P7" s="337">
        <f>'1. sz.mell. '!C11</f>
        <v>1797356954</v>
      </c>
      <c r="Q7" s="338">
        <f t="shared" ref="Q7:Q28" si="1">O7-P7</f>
        <v>0</v>
      </c>
    </row>
    <row r="8" spans="1:17" s="46" customFormat="1" ht="22.5" x14ac:dyDescent="0.2">
      <c r="A8" s="44" t="s">
        <v>18</v>
      </c>
      <c r="B8" s="103" t="s">
        <v>349</v>
      </c>
      <c r="C8" s="232">
        <f>1080000+2900000</f>
        <v>3980000</v>
      </c>
      <c r="D8" s="232">
        <f>2900000</f>
        <v>2900000</v>
      </c>
      <c r="E8" s="232">
        <f>25427162+30768216+2900000+8562710+13275647+4442252</f>
        <v>85375987</v>
      </c>
      <c r="F8" s="232">
        <f>1080000+2900000+8562710+5000000+9000000+115749+4000000+958699</f>
        <v>31617158</v>
      </c>
      <c r="G8" s="232">
        <f>126028453+2900000+8562710+43710000</f>
        <v>181201163</v>
      </c>
      <c r="H8" s="232">
        <f>2900000+8562710+800000</f>
        <v>12262710</v>
      </c>
      <c r="I8" s="232">
        <f>1080000+2900000+1200000</f>
        <v>5180000</v>
      </c>
      <c r="J8" s="232">
        <f>2550000+3000000+37562787</f>
        <v>43112787</v>
      </c>
      <c r="K8" s="232">
        <f>2550000+8562710+1500000+1800000+3500000</f>
        <v>17912710</v>
      </c>
      <c r="L8" s="232">
        <f>1080000+2550000+8562710+1500000+17333392</f>
        <v>31026102</v>
      </c>
      <c r="M8" s="232">
        <f>2550000+1500000+4047900</f>
        <v>8097900</v>
      </c>
      <c r="N8" s="1306">
        <f>2550000+3307646+1500000+17591000+21987230+32477388</f>
        <v>79413264</v>
      </c>
      <c r="O8" s="339">
        <f t="shared" si="0"/>
        <v>502079781</v>
      </c>
      <c r="P8" s="340">
        <f>'1. sz.mell. '!C20</f>
        <v>502079781</v>
      </c>
      <c r="Q8" s="341">
        <f t="shared" si="1"/>
        <v>0</v>
      </c>
    </row>
    <row r="9" spans="1:17" s="46" customFormat="1" ht="22.5" x14ac:dyDescent="0.2">
      <c r="A9" s="44" t="s">
        <v>19</v>
      </c>
      <c r="B9" s="102" t="s">
        <v>350</v>
      </c>
      <c r="C9" s="233"/>
      <c r="D9" s="233"/>
      <c r="E9" s="233">
        <v>114194761</v>
      </c>
      <c r="F9" s="233"/>
      <c r="G9" s="233">
        <v>4290000</v>
      </c>
      <c r="H9" s="233"/>
      <c r="I9" s="233"/>
      <c r="J9" s="233">
        <v>137436248</v>
      </c>
      <c r="K9" s="233">
        <v>57000000</v>
      </c>
      <c r="L9" s="233">
        <f>57000000+396572740</f>
        <v>453572740</v>
      </c>
      <c r="M9" s="233">
        <f>105086150+76736922</f>
        <v>181823072</v>
      </c>
      <c r="N9" s="233">
        <f>61488871+278341940-20282235</f>
        <v>319548576</v>
      </c>
      <c r="O9" s="339">
        <f t="shared" si="0"/>
        <v>1267865397</v>
      </c>
      <c r="P9" s="340">
        <f>'1. sz.mell. '!C27</f>
        <v>1267865397</v>
      </c>
      <c r="Q9" s="341">
        <f t="shared" si="1"/>
        <v>0</v>
      </c>
    </row>
    <row r="10" spans="1:17" s="46" customFormat="1" ht="14.1" customHeight="1" x14ac:dyDescent="0.2">
      <c r="A10" s="44" t="s">
        <v>20</v>
      </c>
      <c r="B10" s="101" t="s">
        <v>125</v>
      </c>
      <c r="C10" s="232">
        <v>2000000</v>
      </c>
      <c r="D10" s="232">
        <v>3000000</v>
      </c>
      <c r="E10" s="232">
        <v>130000000</v>
      </c>
      <c r="F10" s="232">
        <v>2000000</v>
      </c>
      <c r="G10" s="232">
        <v>2500000</v>
      </c>
      <c r="H10" s="232">
        <v>2000000</v>
      </c>
      <c r="I10" s="232">
        <v>2000000</v>
      </c>
      <c r="J10" s="232">
        <f>3000000</f>
        <v>3000000</v>
      </c>
      <c r="K10" s="232">
        <v>157100000</v>
      </c>
      <c r="L10" s="232">
        <f>4000000-245000</f>
        <v>3755000</v>
      </c>
      <c r="M10" s="232">
        <v>4000000</v>
      </c>
      <c r="N10" s="1307">
        <f>80000000+50000000+33639000</f>
        <v>163639000</v>
      </c>
      <c r="O10" s="339">
        <f t="shared" si="0"/>
        <v>474994000</v>
      </c>
      <c r="P10" s="340">
        <f>'1. sz.mell. '!C34</f>
        <v>474994000</v>
      </c>
      <c r="Q10" s="341">
        <f>O10-P10</f>
        <v>0</v>
      </c>
    </row>
    <row r="11" spans="1:17" s="46" customFormat="1" ht="14.1" customHeight="1" x14ac:dyDescent="0.2">
      <c r="A11" s="44" t="s">
        <v>21</v>
      </c>
      <c r="B11" s="101" t="s">
        <v>351</v>
      </c>
      <c r="C11" s="232">
        <f t="shared" ref="C11:K11" si="2">28210946+34568</f>
        <v>28245514</v>
      </c>
      <c r="D11" s="232">
        <f t="shared" si="2"/>
        <v>28245514</v>
      </c>
      <c r="E11" s="232">
        <f t="shared" si="2"/>
        <v>28245514</v>
      </c>
      <c r="F11" s="232">
        <f t="shared" si="2"/>
        <v>28245514</v>
      </c>
      <c r="G11" s="232">
        <f t="shared" si="2"/>
        <v>28245514</v>
      </c>
      <c r="H11" s="232">
        <f t="shared" si="2"/>
        <v>28245514</v>
      </c>
      <c r="I11" s="232">
        <f t="shared" si="2"/>
        <v>28245514</v>
      </c>
      <c r="J11" s="232">
        <f>28210946+34568+1851777</f>
        <v>30097291</v>
      </c>
      <c r="K11" s="232">
        <f t="shared" si="2"/>
        <v>28245514</v>
      </c>
      <c r="L11" s="232">
        <f>28210946+34568+1628463+5715000</f>
        <v>35588977</v>
      </c>
      <c r="M11" s="232">
        <f>28210946+34568+1628463+3810000</f>
        <v>33683977</v>
      </c>
      <c r="N11" s="1307">
        <f>28210945+34568+1628464+5500000+1622680</f>
        <v>36996657</v>
      </c>
      <c r="O11" s="339">
        <f t="shared" si="0"/>
        <v>362331014</v>
      </c>
      <c r="P11" s="340">
        <f>'1. sz.mell. '!C41</f>
        <v>362331014</v>
      </c>
      <c r="Q11" s="341">
        <f t="shared" si="1"/>
        <v>0</v>
      </c>
    </row>
    <row r="12" spans="1:17" s="46" customFormat="1" ht="14.1" customHeight="1" x14ac:dyDescent="0.2">
      <c r="A12" s="44" t="s">
        <v>22</v>
      </c>
      <c r="B12" s="101" t="s">
        <v>9</v>
      </c>
      <c r="C12" s="232"/>
      <c r="D12" s="232"/>
      <c r="E12" s="232">
        <v>38000000</v>
      </c>
      <c r="F12" s="232"/>
      <c r="G12" s="232"/>
      <c r="H12" s="232">
        <v>5000000</v>
      </c>
      <c r="I12" s="232"/>
      <c r="J12" s="232"/>
      <c r="K12" s="232">
        <v>5000000</v>
      </c>
      <c r="L12" s="232"/>
      <c r="M12" s="232"/>
      <c r="N12" s="232"/>
      <c r="O12" s="339">
        <f t="shared" si="0"/>
        <v>48000000</v>
      </c>
      <c r="P12" s="340">
        <f>'1. sz.mell. '!C53</f>
        <v>48000000</v>
      </c>
      <c r="Q12" s="341">
        <f t="shared" si="1"/>
        <v>0</v>
      </c>
    </row>
    <row r="13" spans="1:17" s="46" customFormat="1" ht="14.1" customHeight="1" x14ac:dyDescent="0.2">
      <c r="A13" s="44" t="s">
        <v>23</v>
      </c>
      <c r="B13" s="101" t="s">
        <v>309</v>
      </c>
      <c r="C13" s="232">
        <v>100000</v>
      </c>
      <c r="D13" s="232">
        <v>100000</v>
      </c>
      <c r="E13" s="232">
        <v>100000</v>
      </c>
      <c r="F13" s="232">
        <v>100000</v>
      </c>
      <c r="G13" s="232">
        <v>100000</v>
      </c>
      <c r="H13" s="232">
        <v>100000</v>
      </c>
      <c r="I13" s="232">
        <f>100000</f>
        <v>100000</v>
      </c>
      <c r="J13" s="232">
        <f>100000+456096</f>
        <v>556096</v>
      </c>
      <c r="K13" s="232">
        <v>100000</v>
      </c>
      <c r="L13" s="232">
        <v>100000</v>
      </c>
      <c r="M13" s="232">
        <f>100000+1858000</f>
        <v>1958000</v>
      </c>
      <c r="N13" s="1307">
        <f>100000+435987</f>
        <v>535987</v>
      </c>
      <c r="O13" s="339">
        <f t="shared" si="0"/>
        <v>3950083</v>
      </c>
      <c r="P13" s="340">
        <f>'1. sz.mell. '!C59</f>
        <v>3950083</v>
      </c>
      <c r="Q13" s="341">
        <f t="shared" si="1"/>
        <v>0</v>
      </c>
    </row>
    <row r="14" spans="1:17" s="46" customFormat="1" ht="22.5" x14ac:dyDescent="0.2">
      <c r="A14" s="44" t="s">
        <v>24</v>
      </c>
      <c r="B14" s="103" t="s">
        <v>338</v>
      </c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1307">
        <v>12220788</v>
      </c>
      <c r="O14" s="339">
        <f t="shared" si="0"/>
        <v>12220788</v>
      </c>
      <c r="P14" s="340">
        <f>'1. sz.mell. '!C64</f>
        <v>12220788</v>
      </c>
      <c r="Q14" s="341">
        <f t="shared" si="1"/>
        <v>0</v>
      </c>
    </row>
    <row r="15" spans="1:17" s="46" customFormat="1" ht="14.1" customHeight="1" thickBot="1" x14ac:dyDescent="0.25">
      <c r="A15" s="44" t="s">
        <v>25</v>
      </c>
      <c r="B15" s="101" t="s">
        <v>10</v>
      </c>
      <c r="C15" s="45">
        <f>83333333+2438020994+140701</f>
        <v>2521495028</v>
      </c>
      <c r="D15" s="45">
        <f t="shared" ref="D15:J15" si="3">83333333</f>
        <v>83333333</v>
      </c>
      <c r="E15" s="45">
        <f>83333333+16700000</f>
        <v>100033333</v>
      </c>
      <c r="F15" s="45">
        <f t="shared" si="3"/>
        <v>83333333</v>
      </c>
      <c r="G15" s="45">
        <f>83333333+22500000</f>
        <v>105833333</v>
      </c>
      <c r="H15" s="45">
        <f t="shared" si="3"/>
        <v>83333333</v>
      </c>
      <c r="I15" s="45">
        <f>83333333+16700000</f>
        <v>100033333</v>
      </c>
      <c r="J15" s="45">
        <f t="shared" si="3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1307">
        <f>83333333+55076107+20733250+36100004-20000000+50000000+6766499</f>
        <v>232009193</v>
      </c>
      <c r="O15" s="339">
        <f t="shared" si="0"/>
        <v>3717737551</v>
      </c>
      <c r="P15" s="342">
        <f>'1. sz.mell. '!C93</f>
        <v>3717737551</v>
      </c>
      <c r="Q15" s="343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2693042879</v>
      </c>
      <c r="D16" s="47">
        <f t="shared" si="4"/>
        <v>254801182</v>
      </c>
      <c r="E16" s="47">
        <f t="shared" si="4"/>
        <v>633171930</v>
      </c>
      <c r="F16" s="47">
        <f t="shared" si="4"/>
        <v>304741340</v>
      </c>
      <c r="G16" s="47">
        <f t="shared" si="4"/>
        <v>459392345</v>
      </c>
      <c r="H16" s="47">
        <f t="shared" si="4"/>
        <v>327587288</v>
      </c>
      <c r="I16" s="47">
        <f t="shared" si="4"/>
        <v>274349859</v>
      </c>
      <c r="J16" s="47">
        <f t="shared" si="4"/>
        <v>436326767</v>
      </c>
      <c r="K16" s="47">
        <f t="shared" si="4"/>
        <v>524982569</v>
      </c>
      <c r="L16" s="47">
        <f t="shared" si="4"/>
        <v>772390164</v>
      </c>
      <c r="M16" s="47">
        <f t="shared" si="4"/>
        <v>489187294</v>
      </c>
      <c r="N16" s="47">
        <f t="shared" si="4"/>
        <v>1016561951</v>
      </c>
      <c r="O16" s="897">
        <f>SUM(C16:N16)</f>
        <v>8186535568</v>
      </c>
      <c r="P16" s="344">
        <f>SUM(P7:P15)</f>
        <v>8186535568</v>
      </c>
      <c r="Q16" s="345">
        <f t="shared" si="1"/>
        <v>0</v>
      </c>
    </row>
    <row r="17" spans="1:17" s="42" customFormat="1" ht="15" customHeight="1" thickBot="1" x14ac:dyDescent="0.25">
      <c r="A17" s="41"/>
      <c r="B17" s="1432" t="s">
        <v>921</v>
      </c>
      <c r="C17" s="1433"/>
      <c r="D17" s="1433"/>
      <c r="E17" s="1433"/>
      <c r="F17" s="1433"/>
      <c r="G17" s="1433"/>
      <c r="H17" s="1433"/>
      <c r="I17" s="1433"/>
      <c r="J17" s="1433"/>
      <c r="K17" s="1433"/>
      <c r="L17" s="1433"/>
      <c r="M17" s="1433"/>
      <c r="N17" s="1433"/>
      <c r="O17" s="1434"/>
      <c r="P17" s="336"/>
      <c r="Q17" s="346">
        <f t="shared" si="1"/>
        <v>0</v>
      </c>
    </row>
    <row r="18" spans="1:17" s="46" customFormat="1" ht="14.1" customHeight="1" thickBot="1" x14ac:dyDescent="0.25">
      <c r="A18" s="347" t="s">
        <v>27</v>
      </c>
      <c r="B18" s="348" t="s">
        <v>58</v>
      </c>
      <c r="C18" s="349">
        <f>117579391-1549855</f>
        <v>116029536</v>
      </c>
      <c r="D18" s="349">
        <f>117579391-1549855-22379</f>
        <v>116007157</v>
      </c>
      <c r="E18" s="349">
        <f>117579391+3514601-1549855</f>
        <v>119544137</v>
      </c>
      <c r="F18" s="349">
        <f>117579391-1549855</f>
        <v>116029536</v>
      </c>
      <c r="G18" s="349">
        <f>117579391+1000000-1549853</f>
        <v>117029538</v>
      </c>
      <c r="H18" s="349">
        <v>117579391</v>
      </c>
      <c r="I18" s="349">
        <f>117579391+1200000+87500</f>
        <v>118866891</v>
      </c>
      <c r="J18" s="349">
        <f>117579391+1800000+87500+8339191-2591594</f>
        <v>125214488</v>
      </c>
      <c r="K18" s="349">
        <f>117579391+87500+8339191+318118-2591593</f>
        <v>123732607</v>
      </c>
      <c r="L18" s="349">
        <f>117579391+87500+8339191-22865+318118-2591594</f>
        <v>123709741</v>
      </c>
      <c r="M18" s="349">
        <f>117579391+87500+8339191-22865+318118-2591594</f>
        <v>123709741</v>
      </c>
      <c r="N18" s="1308">
        <f>117579395+87500+8339189-22866+318118-2591594-35230022</f>
        <v>88479720</v>
      </c>
      <c r="O18" s="339">
        <f t="shared" ref="O18:O28" si="5">SUM(C18:N18)</f>
        <v>1405932483</v>
      </c>
      <c r="P18" s="396">
        <f>'1. sz.mell. '!C100</f>
        <v>1405932483</v>
      </c>
      <c r="Q18" s="338">
        <f t="shared" si="1"/>
        <v>0</v>
      </c>
    </row>
    <row r="19" spans="1:17" s="46" customFormat="1" ht="27" customHeight="1" thickBot="1" x14ac:dyDescent="0.25">
      <c r="A19" s="44" t="s">
        <v>28</v>
      </c>
      <c r="B19" s="103" t="s">
        <v>134</v>
      </c>
      <c r="C19" s="232">
        <f>16899326+900000-197370</f>
        <v>17601956</v>
      </c>
      <c r="D19" s="232">
        <f>16899326-197370+22379</f>
        <v>16724335</v>
      </c>
      <c r="E19" s="232">
        <f>16899326-197370</f>
        <v>16701956</v>
      </c>
      <c r="F19" s="232">
        <f>16899326+1195000+473920-197370</f>
        <v>18370876</v>
      </c>
      <c r="G19" s="232">
        <f>16899326-197372</f>
        <v>16701954</v>
      </c>
      <c r="H19" s="232">
        <f>16899326+130000</f>
        <v>17029326</v>
      </c>
      <c r="I19" s="232">
        <f>16899326+1195000</f>
        <v>18094326</v>
      </c>
      <c r="J19" s="232">
        <f>16899326+815191</f>
        <v>17714517</v>
      </c>
      <c r="K19" s="232">
        <f>16899326+815191+60830</f>
        <v>17775347</v>
      </c>
      <c r="L19" s="232">
        <f>16899326+1195000+815191+56308+60830</f>
        <v>19026655</v>
      </c>
      <c r="M19" s="232">
        <f>16899326+1339995+815191+60829</f>
        <v>19115341</v>
      </c>
      <c r="N19" s="1307">
        <f>16899326+815189+60830+769158-11521183+1250000</f>
        <v>8273320</v>
      </c>
      <c r="O19" s="339">
        <f t="shared" si="5"/>
        <v>203129909</v>
      </c>
      <c r="P19" s="396">
        <f>'1. sz.mell. '!C101</f>
        <v>203129909</v>
      </c>
      <c r="Q19" s="341">
        <f t="shared" si="1"/>
        <v>0</v>
      </c>
    </row>
    <row r="20" spans="1:17" s="46" customFormat="1" ht="14.1" customHeight="1" thickBot="1" x14ac:dyDescent="0.25">
      <c r="A20" s="44" t="s">
        <v>29</v>
      </c>
      <c r="B20" s="101" t="s">
        <v>110</v>
      </c>
      <c r="C20" s="232">
        <v>105594731</v>
      </c>
      <c r="D20" s="232">
        <v>105594731</v>
      </c>
      <c r="E20" s="232">
        <v>105594731</v>
      </c>
      <c r="F20" s="232">
        <f>105594731+600000</f>
        <v>106194731</v>
      </c>
      <c r="G20" s="232">
        <v>105594731</v>
      </c>
      <c r="H20" s="232">
        <f>105594731+5856541</f>
        <v>111451272</v>
      </c>
      <c r="I20" s="232">
        <f>105594731+2477881+4628988+9958435</f>
        <v>122660035</v>
      </c>
      <c r="J20" s="232">
        <f>105594731+2477881+9958435</f>
        <v>118031047</v>
      </c>
      <c r="K20" s="232">
        <f>105594731+2477881+9958435+4471298+3500000+3194180</f>
        <v>129196525</v>
      </c>
      <c r="L20" s="232">
        <f>105594731+2477881+9958435+4471298+3194180</f>
        <v>125696525</v>
      </c>
      <c r="M20" s="232">
        <f>105594731+2477881+9958435+4471298+3194179+30000000</f>
        <v>155696524</v>
      </c>
      <c r="N20" s="1307">
        <f>105594736+2477880+9958437+92133191+3194180+47546427-54561537+6350000+1622680</f>
        <v>214315994</v>
      </c>
      <c r="O20" s="339">
        <f t="shared" si="5"/>
        <v>1505621577</v>
      </c>
      <c r="P20" s="396">
        <f>'1. sz.mell. '!C102</f>
        <v>1505621577</v>
      </c>
      <c r="Q20" s="341">
        <f t="shared" si="1"/>
        <v>0</v>
      </c>
    </row>
    <row r="21" spans="1:17" s="46" customFormat="1" ht="14.1" customHeight="1" x14ac:dyDescent="0.2">
      <c r="A21" s="44" t="s">
        <v>30</v>
      </c>
      <c r="B21" s="101" t="s">
        <v>135</v>
      </c>
      <c r="C21" s="232">
        <v>2345455</v>
      </c>
      <c r="D21" s="232">
        <v>2345455</v>
      </c>
      <c r="E21" s="232">
        <v>2345455</v>
      </c>
      <c r="F21" s="232">
        <v>2345455</v>
      </c>
      <c r="G21" s="232">
        <v>2345455</v>
      </c>
      <c r="H21" s="232">
        <v>2345455</v>
      </c>
      <c r="I21" s="232">
        <f>2345454+208333</f>
        <v>2553787</v>
      </c>
      <c r="J21" s="232">
        <f>2345454+208333</f>
        <v>2553787</v>
      </c>
      <c r="K21" s="232">
        <f>2345454+208333</f>
        <v>2553787</v>
      </c>
      <c r="L21" s="232">
        <f>2345454+208333</f>
        <v>2553787</v>
      </c>
      <c r="M21" s="232">
        <f>2345454+208333</f>
        <v>2553787</v>
      </c>
      <c r="N21" s="1307">
        <f>18000000+208335-7000000</f>
        <v>11208335</v>
      </c>
      <c r="O21" s="339">
        <f t="shared" si="5"/>
        <v>38050000</v>
      </c>
      <c r="P21" s="396">
        <f>'1. sz.mell. '!C103</f>
        <v>38050000</v>
      </c>
      <c r="Q21" s="341">
        <f t="shared" si="1"/>
        <v>0</v>
      </c>
    </row>
    <row r="22" spans="1:17" s="46" customFormat="1" ht="14.1" customHeight="1" x14ac:dyDescent="0.2">
      <c r="A22" s="44" t="s">
        <v>31</v>
      </c>
      <c r="B22" s="101" t="s">
        <v>11</v>
      </c>
      <c r="C22" s="232">
        <v>16360962</v>
      </c>
      <c r="D22" s="232">
        <f>16360962+4587914</f>
        <v>20948876</v>
      </c>
      <c r="E22" s="232">
        <v>16360962</v>
      </c>
      <c r="F22" s="232">
        <v>16360962</v>
      </c>
      <c r="G22" s="232">
        <f>16360962+823615</f>
        <v>17184577</v>
      </c>
      <c r="H22" s="232">
        <f>16360962+457259</f>
        <v>16818221</v>
      </c>
      <c r="I22" s="232">
        <f>16360962+874023</f>
        <v>17234985</v>
      </c>
      <c r="J22" s="232">
        <f>16360962+212118</f>
        <v>16573080</v>
      </c>
      <c r="K22" s="232">
        <v>16360962</v>
      </c>
      <c r="L22" s="232">
        <v>16360962</v>
      </c>
      <c r="M22" s="232">
        <v>16360962</v>
      </c>
      <c r="N22" s="1307">
        <f>16360966-4071620+2228392</f>
        <v>14517738</v>
      </c>
      <c r="O22" s="339">
        <f t="shared" si="5"/>
        <v>201443249</v>
      </c>
      <c r="P22" s="340">
        <f>'1. sz.mell. '!C104</f>
        <v>201443249</v>
      </c>
      <c r="Q22" s="341">
        <f t="shared" si="1"/>
        <v>0</v>
      </c>
    </row>
    <row r="23" spans="1:17" s="46" customFormat="1" ht="14.1" customHeight="1" x14ac:dyDescent="0.2">
      <c r="A23" s="44" t="s">
        <v>32</v>
      </c>
      <c r="B23" s="101" t="s">
        <v>157</v>
      </c>
      <c r="C23" s="232"/>
      <c r="D23" s="232"/>
      <c r="E23" s="232">
        <f>16700000+20000000-30445</f>
        <v>36669555</v>
      </c>
      <c r="F23" s="232">
        <v>20000000</v>
      </c>
      <c r="G23" s="232">
        <f>22500000+20000000</f>
        <v>42500000</v>
      </c>
      <c r="H23" s="232">
        <v>20000000</v>
      </c>
      <c r="I23" s="232">
        <f>16700000+20000000+14764078</f>
        <v>51464078</v>
      </c>
      <c r="J23" s="232">
        <v>20000000</v>
      </c>
      <c r="K23" s="232">
        <f>37500000+20000000</f>
        <v>57500000</v>
      </c>
      <c r="L23" s="232">
        <f>20000000+567168</f>
        <v>20567168</v>
      </c>
      <c r="M23" s="232">
        <f>37500000+20000000+4290000+137436248+1091555</f>
        <v>200317803</v>
      </c>
      <c r="N23" s="1307">
        <f>36100004+392545056+809906+76415016-20000000+27764315+4071620-8119052</f>
        <v>509586865</v>
      </c>
      <c r="O23" s="339">
        <f t="shared" si="5"/>
        <v>978605469</v>
      </c>
      <c r="P23" s="340">
        <f>'1. sz.mell. '!C121</f>
        <v>978605469</v>
      </c>
      <c r="Q23" s="341">
        <f t="shared" si="1"/>
        <v>0</v>
      </c>
    </row>
    <row r="24" spans="1:17" s="46" customFormat="1" x14ac:dyDescent="0.2">
      <c r="A24" s="44" t="s">
        <v>33</v>
      </c>
      <c r="B24" s="103" t="s">
        <v>138</v>
      </c>
      <c r="C24" s="232"/>
      <c r="D24" s="232">
        <v>20000000</v>
      </c>
      <c r="E24" s="232">
        <v>120000000</v>
      </c>
      <c r="F24" s="232">
        <v>120000000</v>
      </c>
      <c r="G24" s="232">
        <v>120000000</v>
      </c>
      <c r="H24" s="232">
        <f>120000000-8470273</f>
        <v>111529727</v>
      </c>
      <c r="I24" s="232">
        <f>120000000-19331097+394703</f>
        <v>101063606</v>
      </c>
      <c r="J24" s="232">
        <f>120000000+400000</f>
        <v>120400000</v>
      </c>
      <c r="K24" s="232">
        <v>120000000</v>
      </c>
      <c r="L24" s="232">
        <v>120000000</v>
      </c>
      <c r="M24" s="232">
        <v>120000000</v>
      </c>
      <c r="N24" s="1307">
        <f>834815497+588237+696877832-25113756+42627291-6350000</f>
        <v>1543445101</v>
      </c>
      <c r="O24" s="339">
        <f t="shared" si="5"/>
        <v>2616438434</v>
      </c>
      <c r="P24" s="340">
        <f>'1. sz.mell. '!C123</f>
        <v>2616438434</v>
      </c>
      <c r="Q24" s="341">
        <f t="shared" si="1"/>
        <v>0</v>
      </c>
    </row>
    <row r="25" spans="1:17" s="46" customFormat="1" ht="14.1" customHeight="1" x14ac:dyDescent="0.2">
      <c r="A25" s="44" t="s">
        <v>34</v>
      </c>
      <c r="B25" s="101" t="s">
        <v>159</v>
      </c>
      <c r="C25" s="232"/>
      <c r="D25" s="232"/>
      <c r="E25" s="232"/>
      <c r="F25" s="232">
        <v>484000</v>
      </c>
      <c r="G25" s="232">
        <v>1423277</v>
      </c>
      <c r="H25" s="232">
        <f>150000+798660</f>
        <v>948660</v>
      </c>
      <c r="I25" s="232">
        <v>190000</v>
      </c>
      <c r="J25" s="232"/>
      <c r="K25" s="232">
        <f>577815+564491</f>
        <v>1142306</v>
      </c>
      <c r="L25" s="232"/>
      <c r="M25" s="232"/>
      <c r="N25" s="232"/>
      <c r="O25" s="339">
        <f t="shared" si="5"/>
        <v>4188243</v>
      </c>
      <c r="P25" s="340">
        <f>'1. sz.mell. '!C125</f>
        <v>4188243</v>
      </c>
      <c r="Q25" s="341">
        <f t="shared" si="1"/>
        <v>0</v>
      </c>
    </row>
    <row r="26" spans="1:17" s="46" customFormat="1" ht="14.1" customHeight="1" x14ac:dyDescent="0.2">
      <c r="A26" s="44" t="s">
        <v>35</v>
      </c>
      <c r="B26" s="101" t="s">
        <v>47</v>
      </c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1307">
        <f>130420513+2653479-1647918-1769228+3366934+3399263-4655454+23132920-49578708</f>
        <v>105321801</v>
      </c>
      <c r="O26" s="339">
        <f t="shared" si="5"/>
        <v>105321801</v>
      </c>
      <c r="P26" s="340">
        <f>'1. sz.mell. '!C117</f>
        <v>105321801</v>
      </c>
      <c r="Q26" s="341">
        <f t="shared" si="1"/>
        <v>0</v>
      </c>
    </row>
    <row r="27" spans="1:17" s="46" customFormat="1" ht="14.1" customHeight="1" thickBot="1" x14ac:dyDescent="0.25">
      <c r="A27" s="44" t="s">
        <v>36</v>
      </c>
      <c r="B27" s="101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32">
        <v>83333333</v>
      </c>
      <c r="G27" s="45">
        <v>83333333</v>
      </c>
      <c r="H27" s="45">
        <f>5682074+83333333</f>
        <v>89015407</v>
      </c>
      <c r="I27" s="232">
        <v>83333333</v>
      </c>
      <c r="J27" s="232">
        <v>83333333</v>
      </c>
      <c r="K27" s="45">
        <f>5682074+83333333</f>
        <v>89015407</v>
      </c>
      <c r="L27" s="232">
        <v>83333333</v>
      </c>
      <c r="M27" s="232">
        <v>83333333</v>
      </c>
      <c r="N27" s="45">
        <f>5682074+83333337+50000000</f>
        <v>139015411</v>
      </c>
      <c r="O27" s="339">
        <f t="shared" si="5"/>
        <v>1127804403</v>
      </c>
      <c r="P27" s="342">
        <f>'1. sz.mell. '!C159</f>
        <v>1127804403</v>
      </c>
      <c r="Q27" s="343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396342080</v>
      </c>
      <c r="D28" s="47">
        <f t="shared" si="6"/>
        <v>364953887</v>
      </c>
      <c r="E28" s="47">
        <f t="shared" si="6"/>
        <v>506232203</v>
      </c>
      <c r="F28" s="47">
        <f t="shared" si="6"/>
        <v>483118893</v>
      </c>
      <c r="G28" s="47">
        <f t="shared" si="6"/>
        <v>506112865</v>
      </c>
      <c r="H28" s="47">
        <f t="shared" si="6"/>
        <v>486717459</v>
      </c>
      <c r="I28" s="47">
        <f t="shared" si="6"/>
        <v>515461041</v>
      </c>
      <c r="J28" s="47">
        <f t="shared" si="6"/>
        <v>503820252</v>
      </c>
      <c r="K28" s="47">
        <f t="shared" si="6"/>
        <v>557276941</v>
      </c>
      <c r="L28" s="47">
        <f t="shared" si="6"/>
        <v>511248171</v>
      </c>
      <c r="M28" s="47">
        <f t="shared" si="6"/>
        <v>721087491</v>
      </c>
      <c r="N28" s="47">
        <f t="shared" si="6"/>
        <v>2634164285</v>
      </c>
      <c r="O28" s="897">
        <f t="shared" si="5"/>
        <v>8186535568</v>
      </c>
      <c r="P28" s="344">
        <f>SUM(P18:P27)</f>
        <v>8186535568</v>
      </c>
      <c r="Q28" s="345">
        <f t="shared" si="1"/>
        <v>0</v>
      </c>
    </row>
    <row r="29" spans="1:17" ht="16.5" thickBot="1" x14ac:dyDescent="0.3">
      <c r="A29" s="48" t="s">
        <v>38</v>
      </c>
      <c r="B29" s="104" t="s">
        <v>98</v>
      </c>
      <c r="C29" s="49">
        <f t="shared" ref="C29:N29" si="7">C16-C28</f>
        <v>2296700799</v>
      </c>
      <c r="D29" s="49">
        <f t="shared" si="7"/>
        <v>-110152705</v>
      </c>
      <c r="E29" s="49">
        <f t="shared" si="7"/>
        <v>126939727</v>
      </c>
      <c r="F29" s="49">
        <f t="shared" si="7"/>
        <v>-178377553</v>
      </c>
      <c r="G29" s="49">
        <f t="shared" si="7"/>
        <v>-46720520</v>
      </c>
      <c r="H29" s="49">
        <f t="shared" si="7"/>
        <v>-159130171</v>
      </c>
      <c r="I29" s="49">
        <f t="shared" si="7"/>
        <v>-241111182</v>
      </c>
      <c r="J29" s="49">
        <f t="shared" si="7"/>
        <v>-67493485</v>
      </c>
      <c r="K29" s="49">
        <f t="shared" si="7"/>
        <v>-32294372</v>
      </c>
      <c r="L29" s="49">
        <f t="shared" si="7"/>
        <v>261141993</v>
      </c>
      <c r="M29" s="49">
        <f t="shared" si="7"/>
        <v>-231900197</v>
      </c>
      <c r="N29" s="49">
        <f t="shared" si="7"/>
        <v>-1617602334</v>
      </c>
      <c r="O29" s="39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395"/>
    </row>
    <row r="32" spans="1:17" x14ac:dyDescent="0.25">
      <c r="O32" s="395"/>
    </row>
    <row r="33" spans="15:15" x14ac:dyDescent="0.25">
      <c r="O33" s="395"/>
    </row>
    <row r="34" spans="15:15" x14ac:dyDescent="0.25">
      <c r="O34" s="395"/>
    </row>
    <row r="35" spans="15:15" x14ac:dyDescent="0.25">
      <c r="O35" s="395"/>
    </row>
    <row r="36" spans="15:15" x14ac:dyDescent="0.25">
      <c r="O36" s="395"/>
    </row>
    <row r="37" spans="15:15" x14ac:dyDescent="0.25">
      <c r="O37" s="395"/>
    </row>
    <row r="38" spans="15:15" x14ac:dyDescent="0.25">
      <c r="O38" s="395"/>
    </row>
    <row r="39" spans="15:15" x14ac:dyDescent="0.25">
      <c r="O39" s="395"/>
    </row>
    <row r="40" spans="15:15" x14ac:dyDescent="0.25">
      <c r="O40" s="395"/>
    </row>
    <row r="41" spans="15:15" x14ac:dyDescent="0.25">
      <c r="O41" s="395"/>
    </row>
    <row r="42" spans="15:15" x14ac:dyDescent="0.25">
      <c r="O42" s="395"/>
    </row>
    <row r="43" spans="15:15" x14ac:dyDescent="0.25">
      <c r="O43" s="395"/>
    </row>
    <row r="44" spans="15:15" x14ac:dyDescent="0.25">
      <c r="O44" s="395"/>
    </row>
    <row r="45" spans="15:15" x14ac:dyDescent="0.25">
      <c r="O45" s="395"/>
    </row>
    <row r="46" spans="15:15" x14ac:dyDescent="0.25">
      <c r="O46" s="395"/>
    </row>
    <row r="47" spans="15:15" x14ac:dyDescent="0.25">
      <c r="O47" s="395"/>
    </row>
    <row r="48" spans="15:15" x14ac:dyDescent="0.25">
      <c r="O48" s="395"/>
    </row>
    <row r="49" spans="15:15" x14ac:dyDescent="0.25">
      <c r="O49" s="395"/>
    </row>
    <row r="50" spans="15:15" x14ac:dyDescent="0.25">
      <c r="O50" s="395"/>
    </row>
    <row r="51" spans="15:15" x14ac:dyDescent="0.25">
      <c r="O51" s="395"/>
    </row>
    <row r="52" spans="15:15" x14ac:dyDescent="0.25">
      <c r="O52" s="395"/>
    </row>
    <row r="53" spans="15:15" x14ac:dyDescent="0.25">
      <c r="O53" s="395"/>
    </row>
    <row r="54" spans="15:15" x14ac:dyDescent="0.25">
      <c r="O54" s="395"/>
    </row>
    <row r="55" spans="15:15" x14ac:dyDescent="0.25">
      <c r="O55" s="395"/>
    </row>
    <row r="56" spans="15:15" x14ac:dyDescent="0.25">
      <c r="O56" s="395"/>
    </row>
    <row r="57" spans="15:15" x14ac:dyDescent="0.25">
      <c r="O57" s="395"/>
    </row>
    <row r="58" spans="15:15" x14ac:dyDescent="0.25">
      <c r="O58" s="395"/>
    </row>
    <row r="59" spans="15:15" x14ac:dyDescent="0.25">
      <c r="O59" s="395"/>
    </row>
    <row r="60" spans="15:15" x14ac:dyDescent="0.25">
      <c r="O60" s="395"/>
    </row>
    <row r="61" spans="15:15" x14ac:dyDescent="0.25">
      <c r="O61" s="395"/>
    </row>
    <row r="62" spans="15:15" x14ac:dyDescent="0.25">
      <c r="O62" s="395"/>
    </row>
    <row r="63" spans="15:15" x14ac:dyDescent="0.25">
      <c r="O63" s="395"/>
    </row>
    <row r="64" spans="15:15" x14ac:dyDescent="0.25">
      <c r="O64" s="395"/>
    </row>
    <row r="65" spans="15:15" x14ac:dyDescent="0.25">
      <c r="O65" s="395"/>
    </row>
    <row r="66" spans="15:15" x14ac:dyDescent="0.25">
      <c r="O66" s="395"/>
    </row>
    <row r="67" spans="15:15" x14ac:dyDescent="0.25">
      <c r="O67" s="395"/>
    </row>
    <row r="68" spans="15:15" x14ac:dyDescent="0.25">
      <c r="O68" s="395"/>
    </row>
    <row r="69" spans="15:15" x14ac:dyDescent="0.25">
      <c r="O69" s="395"/>
    </row>
    <row r="70" spans="15:15" x14ac:dyDescent="0.25">
      <c r="O70" s="395"/>
    </row>
    <row r="71" spans="15:15" x14ac:dyDescent="0.25">
      <c r="O71" s="395"/>
    </row>
    <row r="72" spans="15:15" x14ac:dyDescent="0.25">
      <c r="O72" s="395"/>
    </row>
    <row r="73" spans="15:15" x14ac:dyDescent="0.25">
      <c r="O73" s="395"/>
    </row>
    <row r="74" spans="15:15" x14ac:dyDescent="0.25">
      <c r="O74" s="395"/>
    </row>
    <row r="75" spans="15:15" x14ac:dyDescent="0.25">
      <c r="O75" s="395"/>
    </row>
    <row r="76" spans="15:15" x14ac:dyDescent="0.25">
      <c r="O76" s="395"/>
    </row>
    <row r="77" spans="15:15" x14ac:dyDescent="0.25">
      <c r="O77" s="395"/>
    </row>
    <row r="78" spans="15:15" x14ac:dyDescent="0.25">
      <c r="O78" s="395"/>
    </row>
    <row r="79" spans="15:15" x14ac:dyDescent="0.25">
      <c r="O79" s="395"/>
    </row>
    <row r="80" spans="15:15" x14ac:dyDescent="0.25">
      <c r="O80" s="395"/>
    </row>
    <row r="81" spans="15:15" x14ac:dyDescent="0.25">
      <c r="O81" s="395"/>
    </row>
    <row r="82" spans="15:15" x14ac:dyDescent="0.25">
      <c r="O82" s="395"/>
    </row>
    <row r="83" spans="15:15" x14ac:dyDescent="0.25">
      <c r="O83" s="395"/>
    </row>
    <row r="84" spans="15:15" x14ac:dyDescent="0.25">
      <c r="O84" s="395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7"/>
  <sheetViews>
    <sheetView zoomScaleSheetLayoutView="85" workbookViewId="0">
      <selection activeCell="A2" sqref="A2"/>
    </sheetView>
  </sheetViews>
  <sheetFormatPr defaultColWidth="10.6640625" defaultRowHeight="15.75" x14ac:dyDescent="0.25"/>
  <cols>
    <col min="1" max="1" width="10.6640625" style="229"/>
    <col min="2" max="2" width="16" style="229" customWidth="1"/>
    <col min="3" max="3" width="97.33203125" style="229" customWidth="1"/>
    <col min="4" max="4" width="27.5" style="786" customWidth="1"/>
    <col min="5" max="5" width="16.5" style="229" bestFit="1" customWidth="1"/>
    <col min="6" max="6" width="18.6640625" style="229" bestFit="1" customWidth="1"/>
    <col min="7" max="258" width="10.6640625" style="229"/>
    <col min="259" max="259" width="60.1640625" style="229" customWidth="1"/>
    <col min="260" max="260" width="48.83203125" style="229" customWidth="1"/>
    <col min="261" max="261" width="16.5" style="229" bestFit="1" customWidth="1"/>
    <col min="262" max="262" width="15" style="229" customWidth="1"/>
    <col min="263" max="514" width="10.6640625" style="229"/>
    <col min="515" max="515" width="60.1640625" style="229" customWidth="1"/>
    <col min="516" max="516" width="48.83203125" style="229" customWidth="1"/>
    <col min="517" max="517" width="16.5" style="229" bestFit="1" customWidth="1"/>
    <col min="518" max="518" width="15" style="229" customWidth="1"/>
    <col min="519" max="770" width="10.6640625" style="229"/>
    <col min="771" max="771" width="60.1640625" style="229" customWidth="1"/>
    <col min="772" max="772" width="48.83203125" style="229" customWidth="1"/>
    <col min="773" max="773" width="16.5" style="229" bestFit="1" customWidth="1"/>
    <col min="774" max="774" width="15" style="229" customWidth="1"/>
    <col min="775" max="1026" width="10.6640625" style="229"/>
    <col min="1027" max="1027" width="60.1640625" style="229" customWidth="1"/>
    <col min="1028" max="1028" width="48.83203125" style="229" customWidth="1"/>
    <col min="1029" max="1029" width="16.5" style="229" bestFit="1" customWidth="1"/>
    <col min="1030" max="1030" width="15" style="229" customWidth="1"/>
    <col min="1031" max="1282" width="10.6640625" style="229"/>
    <col min="1283" max="1283" width="60.1640625" style="229" customWidth="1"/>
    <col min="1284" max="1284" width="48.83203125" style="229" customWidth="1"/>
    <col min="1285" max="1285" width="16.5" style="229" bestFit="1" customWidth="1"/>
    <col min="1286" max="1286" width="15" style="229" customWidth="1"/>
    <col min="1287" max="1538" width="10.6640625" style="229"/>
    <col min="1539" max="1539" width="60.1640625" style="229" customWidth="1"/>
    <col min="1540" max="1540" width="48.83203125" style="229" customWidth="1"/>
    <col min="1541" max="1541" width="16.5" style="229" bestFit="1" customWidth="1"/>
    <col min="1542" max="1542" width="15" style="229" customWidth="1"/>
    <col min="1543" max="1794" width="10.6640625" style="229"/>
    <col min="1795" max="1795" width="60.1640625" style="229" customWidth="1"/>
    <col min="1796" max="1796" width="48.83203125" style="229" customWidth="1"/>
    <col min="1797" max="1797" width="16.5" style="229" bestFit="1" customWidth="1"/>
    <col min="1798" max="1798" width="15" style="229" customWidth="1"/>
    <col min="1799" max="2050" width="10.6640625" style="229"/>
    <col min="2051" max="2051" width="60.1640625" style="229" customWidth="1"/>
    <col min="2052" max="2052" width="48.83203125" style="229" customWidth="1"/>
    <col min="2053" max="2053" width="16.5" style="229" bestFit="1" customWidth="1"/>
    <col min="2054" max="2054" width="15" style="229" customWidth="1"/>
    <col min="2055" max="2306" width="10.6640625" style="229"/>
    <col min="2307" max="2307" width="60.1640625" style="229" customWidth="1"/>
    <col min="2308" max="2308" width="48.83203125" style="229" customWidth="1"/>
    <col min="2309" max="2309" width="16.5" style="229" bestFit="1" customWidth="1"/>
    <col min="2310" max="2310" width="15" style="229" customWidth="1"/>
    <col min="2311" max="2562" width="10.6640625" style="229"/>
    <col min="2563" max="2563" width="60.1640625" style="229" customWidth="1"/>
    <col min="2564" max="2564" width="48.83203125" style="229" customWidth="1"/>
    <col min="2565" max="2565" width="16.5" style="229" bestFit="1" customWidth="1"/>
    <col min="2566" max="2566" width="15" style="229" customWidth="1"/>
    <col min="2567" max="2818" width="10.6640625" style="229"/>
    <col min="2819" max="2819" width="60.1640625" style="229" customWidth="1"/>
    <col min="2820" max="2820" width="48.83203125" style="229" customWidth="1"/>
    <col min="2821" max="2821" width="16.5" style="229" bestFit="1" customWidth="1"/>
    <col min="2822" max="2822" width="15" style="229" customWidth="1"/>
    <col min="2823" max="3074" width="10.6640625" style="229"/>
    <col min="3075" max="3075" width="60.1640625" style="229" customWidth="1"/>
    <col min="3076" max="3076" width="48.83203125" style="229" customWidth="1"/>
    <col min="3077" max="3077" width="16.5" style="229" bestFit="1" customWidth="1"/>
    <col min="3078" max="3078" width="15" style="229" customWidth="1"/>
    <col min="3079" max="3330" width="10.6640625" style="229"/>
    <col min="3331" max="3331" width="60.1640625" style="229" customWidth="1"/>
    <col min="3332" max="3332" width="48.83203125" style="229" customWidth="1"/>
    <col min="3333" max="3333" width="16.5" style="229" bestFit="1" customWidth="1"/>
    <col min="3334" max="3334" width="15" style="229" customWidth="1"/>
    <col min="3335" max="3586" width="10.6640625" style="229"/>
    <col min="3587" max="3587" width="60.1640625" style="229" customWidth="1"/>
    <col min="3588" max="3588" width="48.83203125" style="229" customWidth="1"/>
    <col min="3589" max="3589" width="16.5" style="229" bestFit="1" customWidth="1"/>
    <col min="3590" max="3590" width="15" style="229" customWidth="1"/>
    <col min="3591" max="3842" width="10.6640625" style="229"/>
    <col min="3843" max="3843" width="60.1640625" style="229" customWidth="1"/>
    <col min="3844" max="3844" width="48.83203125" style="229" customWidth="1"/>
    <col min="3845" max="3845" width="16.5" style="229" bestFit="1" customWidth="1"/>
    <col min="3846" max="3846" width="15" style="229" customWidth="1"/>
    <col min="3847" max="4098" width="10.6640625" style="229"/>
    <col min="4099" max="4099" width="60.1640625" style="229" customWidth="1"/>
    <col min="4100" max="4100" width="48.83203125" style="229" customWidth="1"/>
    <col min="4101" max="4101" width="16.5" style="229" bestFit="1" customWidth="1"/>
    <col min="4102" max="4102" width="15" style="229" customWidth="1"/>
    <col min="4103" max="4354" width="10.6640625" style="229"/>
    <col min="4355" max="4355" width="60.1640625" style="229" customWidth="1"/>
    <col min="4356" max="4356" width="48.83203125" style="229" customWidth="1"/>
    <col min="4357" max="4357" width="16.5" style="229" bestFit="1" customWidth="1"/>
    <col min="4358" max="4358" width="15" style="229" customWidth="1"/>
    <col min="4359" max="4610" width="10.6640625" style="229"/>
    <col min="4611" max="4611" width="60.1640625" style="229" customWidth="1"/>
    <col min="4612" max="4612" width="48.83203125" style="229" customWidth="1"/>
    <col min="4613" max="4613" width="16.5" style="229" bestFit="1" customWidth="1"/>
    <col min="4614" max="4614" width="15" style="229" customWidth="1"/>
    <col min="4615" max="4866" width="10.6640625" style="229"/>
    <col min="4867" max="4867" width="60.1640625" style="229" customWidth="1"/>
    <col min="4868" max="4868" width="48.83203125" style="229" customWidth="1"/>
    <col min="4869" max="4869" width="16.5" style="229" bestFit="1" customWidth="1"/>
    <col min="4870" max="4870" width="15" style="229" customWidth="1"/>
    <col min="4871" max="5122" width="10.6640625" style="229"/>
    <col min="5123" max="5123" width="60.1640625" style="229" customWidth="1"/>
    <col min="5124" max="5124" width="48.83203125" style="229" customWidth="1"/>
    <col min="5125" max="5125" width="16.5" style="229" bestFit="1" customWidth="1"/>
    <col min="5126" max="5126" width="15" style="229" customWidth="1"/>
    <col min="5127" max="5378" width="10.6640625" style="229"/>
    <col min="5379" max="5379" width="60.1640625" style="229" customWidth="1"/>
    <col min="5380" max="5380" width="48.83203125" style="229" customWidth="1"/>
    <col min="5381" max="5381" width="16.5" style="229" bestFit="1" customWidth="1"/>
    <col min="5382" max="5382" width="15" style="229" customWidth="1"/>
    <col min="5383" max="5634" width="10.6640625" style="229"/>
    <col min="5635" max="5635" width="60.1640625" style="229" customWidth="1"/>
    <col min="5636" max="5636" width="48.83203125" style="229" customWidth="1"/>
    <col min="5637" max="5637" width="16.5" style="229" bestFit="1" customWidth="1"/>
    <col min="5638" max="5638" width="15" style="229" customWidth="1"/>
    <col min="5639" max="5890" width="10.6640625" style="229"/>
    <col min="5891" max="5891" width="60.1640625" style="229" customWidth="1"/>
    <col min="5892" max="5892" width="48.83203125" style="229" customWidth="1"/>
    <col min="5893" max="5893" width="16.5" style="229" bestFit="1" customWidth="1"/>
    <col min="5894" max="5894" width="15" style="229" customWidth="1"/>
    <col min="5895" max="6146" width="10.6640625" style="229"/>
    <col min="6147" max="6147" width="60.1640625" style="229" customWidth="1"/>
    <col min="6148" max="6148" width="48.83203125" style="229" customWidth="1"/>
    <col min="6149" max="6149" width="16.5" style="229" bestFit="1" customWidth="1"/>
    <col min="6150" max="6150" width="15" style="229" customWidth="1"/>
    <col min="6151" max="6402" width="10.6640625" style="229"/>
    <col min="6403" max="6403" width="60.1640625" style="229" customWidth="1"/>
    <col min="6404" max="6404" width="48.83203125" style="229" customWidth="1"/>
    <col min="6405" max="6405" width="16.5" style="229" bestFit="1" customWidth="1"/>
    <col min="6406" max="6406" width="15" style="229" customWidth="1"/>
    <col min="6407" max="6658" width="10.6640625" style="229"/>
    <col min="6659" max="6659" width="60.1640625" style="229" customWidth="1"/>
    <col min="6660" max="6660" width="48.83203125" style="229" customWidth="1"/>
    <col min="6661" max="6661" width="16.5" style="229" bestFit="1" customWidth="1"/>
    <col min="6662" max="6662" width="15" style="229" customWidth="1"/>
    <col min="6663" max="6914" width="10.6640625" style="229"/>
    <col min="6915" max="6915" width="60.1640625" style="229" customWidth="1"/>
    <col min="6916" max="6916" width="48.83203125" style="229" customWidth="1"/>
    <col min="6917" max="6917" width="16.5" style="229" bestFit="1" customWidth="1"/>
    <col min="6918" max="6918" width="15" style="229" customWidth="1"/>
    <col min="6919" max="7170" width="10.6640625" style="229"/>
    <col min="7171" max="7171" width="60.1640625" style="229" customWidth="1"/>
    <col min="7172" max="7172" width="48.83203125" style="229" customWidth="1"/>
    <col min="7173" max="7173" width="16.5" style="229" bestFit="1" customWidth="1"/>
    <col min="7174" max="7174" width="15" style="229" customWidth="1"/>
    <col min="7175" max="7426" width="10.6640625" style="229"/>
    <col min="7427" max="7427" width="60.1640625" style="229" customWidth="1"/>
    <col min="7428" max="7428" width="48.83203125" style="229" customWidth="1"/>
    <col min="7429" max="7429" width="16.5" style="229" bestFit="1" customWidth="1"/>
    <col min="7430" max="7430" width="15" style="229" customWidth="1"/>
    <col min="7431" max="7682" width="10.6640625" style="229"/>
    <col min="7683" max="7683" width="60.1640625" style="229" customWidth="1"/>
    <col min="7684" max="7684" width="48.83203125" style="229" customWidth="1"/>
    <col min="7685" max="7685" width="16.5" style="229" bestFit="1" customWidth="1"/>
    <col min="7686" max="7686" width="15" style="229" customWidth="1"/>
    <col min="7687" max="7938" width="10.6640625" style="229"/>
    <col min="7939" max="7939" width="60.1640625" style="229" customWidth="1"/>
    <col min="7940" max="7940" width="48.83203125" style="229" customWidth="1"/>
    <col min="7941" max="7941" width="16.5" style="229" bestFit="1" customWidth="1"/>
    <col min="7942" max="7942" width="15" style="229" customWidth="1"/>
    <col min="7943" max="8194" width="10.6640625" style="229"/>
    <col min="8195" max="8195" width="60.1640625" style="229" customWidth="1"/>
    <col min="8196" max="8196" width="48.83203125" style="229" customWidth="1"/>
    <col min="8197" max="8197" width="16.5" style="229" bestFit="1" customWidth="1"/>
    <col min="8198" max="8198" width="15" style="229" customWidth="1"/>
    <col min="8199" max="8450" width="10.6640625" style="229"/>
    <col min="8451" max="8451" width="60.1640625" style="229" customWidth="1"/>
    <col min="8452" max="8452" width="48.83203125" style="229" customWidth="1"/>
    <col min="8453" max="8453" width="16.5" style="229" bestFit="1" customWidth="1"/>
    <col min="8454" max="8454" width="15" style="229" customWidth="1"/>
    <col min="8455" max="8706" width="10.6640625" style="229"/>
    <col min="8707" max="8707" width="60.1640625" style="229" customWidth="1"/>
    <col min="8708" max="8708" width="48.83203125" style="229" customWidth="1"/>
    <col min="8709" max="8709" width="16.5" style="229" bestFit="1" customWidth="1"/>
    <col min="8710" max="8710" width="15" style="229" customWidth="1"/>
    <col min="8711" max="8962" width="10.6640625" style="229"/>
    <col min="8963" max="8963" width="60.1640625" style="229" customWidth="1"/>
    <col min="8964" max="8964" width="48.83203125" style="229" customWidth="1"/>
    <col min="8965" max="8965" width="16.5" style="229" bestFit="1" customWidth="1"/>
    <col min="8966" max="8966" width="15" style="229" customWidth="1"/>
    <col min="8967" max="9218" width="10.6640625" style="229"/>
    <col min="9219" max="9219" width="60.1640625" style="229" customWidth="1"/>
    <col min="9220" max="9220" width="48.83203125" style="229" customWidth="1"/>
    <col min="9221" max="9221" width="16.5" style="229" bestFit="1" customWidth="1"/>
    <col min="9222" max="9222" width="15" style="229" customWidth="1"/>
    <col min="9223" max="9474" width="10.6640625" style="229"/>
    <col min="9475" max="9475" width="60.1640625" style="229" customWidth="1"/>
    <col min="9476" max="9476" width="48.83203125" style="229" customWidth="1"/>
    <col min="9477" max="9477" width="16.5" style="229" bestFit="1" customWidth="1"/>
    <col min="9478" max="9478" width="15" style="229" customWidth="1"/>
    <col min="9479" max="9730" width="10.6640625" style="229"/>
    <col min="9731" max="9731" width="60.1640625" style="229" customWidth="1"/>
    <col min="9732" max="9732" width="48.83203125" style="229" customWidth="1"/>
    <col min="9733" max="9733" width="16.5" style="229" bestFit="1" customWidth="1"/>
    <col min="9734" max="9734" width="15" style="229" customWidth="1"/>
    <col min="9735" max="9986" width="10.6640625" style="229"/>
    <col min="9987" max="9987" width="60.1640625" style="229" customWidth="1"/>
    <col min="9988" max="9988" width="48.83203125" style="229" customWidth="1"/>
    <col min="9989" max="9989" width="16.5" style="229" bestFit="1" customWidth="1"/>
    <col min="9990" max="9990" width="15" style="229" customWidth="1"/>
    <col min="9991" max="10242" width="10.6640625" style="229"/>
    <col min="10243" max="10243" width="60.1640625" style="229" customWidth="1"/>
    <col min="10244" max="10244" width="48.83203125" style="229" customWidth="1"/>
    <col min="10245" max="10245" width="16.5" style="229" bestFit="1" customWidth="1"/>
    <col min="10246" max="10246" width="15" style="229" customWidth="1"/>
    <col min="10247" max="10498" width="10.6640625" style="229"/>
    <col min="10499" max="10499" width="60.1640625" style="229" customWidth="1"/>
    <col min="10500" max="10500" width="48.83203125" style="229" customWidth="1"/>
    <col min="10501" max="10501" width="16.5" style="229" bestFit="1" customWidth="1"/>
    <col min="10502" max="10502" width="15" style="229" customWidth="1"/>
    <col min="10503" max="10754" width="10.6640625" style="229"/>
    <col min="10755" max="10755" width="60.1640625" style="229" customWidth="1"/>
    <col min="10756" max="10756" width="48.83203125" style="229" customWidth="1"/>
    <col min="10757" max="10757" width="16.5" style="229" bestFit="1" customWidth="1"/>
    <col min="10758" max="10758" width="15" style="229" customWidth="1"/>
    <col min="10759" max="11010" width="10.6640625" style="229"/>
    <col min="11011" max="11011" width="60.1640625" style="229" customWidth="1"/>
    <col min="11012" max="11012" width="48.83203125" style="229" customWidth="1"/>
    <col min="11013" max="11013" width="16.5" style="229" bestFit="1" customWidth="1"/>
    <col min="11014" max="11014" width="15" style="229" customWidth="1"/>
    <col min="11015" max="11266" width="10.6640625" style="229"/>
    <col min="11267" max="11267" width="60.1640625" style="229" customWidth="1"/>
    <col min="11268" max="11268" width="48.83203125" style="229" customWidth="1"/>
    <col min="11269" max="11269" width="16.5" style="229" bestFit="1" customWidth="1"/>
    <col min="11270" max="11270" width="15" style="229" customWidth="1"/>
    <col min="11271" max="11522" width="10.6640625" style="229"/>
    <col min="11523" max="11523" width="60.1640625" style="229" customWidth="1"/>
    <col min="11524" max="11524" width="48.83203125" style="229" customWidth="1"/>
    <col min="11525" max="11525" width="16.5" style="229" bestFit="1" customWidth="1"/>
    <col min="11526" max="11526" width="15" style="229" customWidth="1"/>
    <col min="11527" max="11778" width="10.6640625" style="229"/>
    <col min="11779" max="11779" width="60.1640625" style="229" customWidth="1"/>
    <col min="11780" max="11780" width="48.83203125" style="229" customWidth="1"/>
    <col min="11781" max="11781" width="16.5" style="229" bestFit="1" customWidth="1"/>
    <col min="11782" max="11782" width="15" style="229" customWidth="1"/>
    <col min="11783" max="12034" width="10.6640625" style="229"/>
    <col min="12035" max="12035" width="60.1640625" style="229" customWidth="1"/>
    <col min="12036" max="12036" width="48.83203125" style="229" customWidth="1"/>
    <col min="12037" max="12037" width="16.5" style="229" bestFit="1" customWidth="1"/>
    <col min="12038" max="12038" width="15" style="229" customWidth="1"/>
    <col min="12039" max="12290" width="10.6640625" style="229"/>
    <col min="12291" max="12291" width="60.1640625" style="229" customWidth="1"/>
    <col min="12292" max="12292" width="48.83203125" style="229" customWidth="1"/>
    <col min="12293" max="12293" width="16.5" style="229" bestFit="1" customWidth="1"/>
    <col min="12294" max="12294" width="15" style="229" customWidth="1"/>
    <col min="12295" max="12546" width="10.6640625" style="229"/>
    <col min="12547" max="12547" width="60.1640625" style="229" customWidth="1"/>
    <col min="12548" max="12548" width="48.83203125" style="229" customWidth="1"/>
    <col min="12549" max="12549" width="16.5" style="229" bestFit="1" customWidth="1"/>
    <col min="12550" max="12550" width="15" style="229" customWidth="1"/>
    <col min="12551" max="12802" width="10.6640625" style="229"/>
    <col min="12803" max="12803" width="60.1640625" style="229" customWidth="1"/>
    <col min="12804" max="12804" width="48.83203125" style="229" customWidth="1"/>
    <col min="12805" max="12805" width="16.5" style="229" bestFit="1" customWidth="1"/>
    <col min="12806" max="12806" width="15" style="229" customWidth="1"/>
    <col min="12807" max="13058" width="10.6640625" style="229"/>
    <col min="13059" max="13059" width="60.1640625" style="229" customWidth="1"/>
    <col min="13060" max="13060" width="48.83203125" style="229" customWidth="1"/>
    <col min="13061" max="13061" width="16.5" style="229" bestFit="1" customWidth="1"/>
    <col min="13062" max="13062" width="15" style="229" customWidth="1"/>
    <col min="13063" max="13314" width="10.6640625" style="229"/>
    <col min="13315" max="13315" width="60.1640625" style="229" customWidth="1"/>
    <col min="13316" max="13316" width="48.83203125" style="229" customWidth="1"/>
    <col min="13317" max="13317" width="16.5" style="229" bestFit="1" customWidth="1"/>
    <col min="13318" max="13318" width="15" style="229" customWidth="1"/>
    <col min="13319" max="13570" width="10.6640625" style="229"/>
    <col min="13571" max="13571" width="60.1640625" style="229" customWidth="1"/>
    <col min="13572" max="13572" width="48.83203125" style="229" customWidth="1"/>
    <col min="13573" max="13573" width="16.5" style="229" bestFit="1" customWidth="1"/>
    <col min="13574" max="13574" width="15" style="229" customWidth="1"/>
    <col min="13575" max="13826" width="10.6640625" style="229"/>
    <col min="13827" max="13827" width="60.1640625" style="229" customWidth="1"/>
    <col min="13828" max="13828" width="48.83203125" style="229" customWidth="1"/>
    <col min="13829" max="13829" width="16.5" style="229" bestFit="1" customWidth="1"/>
    <col min="13830" max="13830" width="15" style="229" customWidth="1"/>
    <col min="13831" max="14082" width="10.6640625" style="229"/>
    <col min="14083" max="14083" width="60.1640625" style="229" customWidth="1"/>
    <col min="14084" max="14084" width="48.83203125" style="229" customWidth="1"/>
    <col min="14085" max="14085" width="16.5" style="229" bestFit="1" customWidth="1"/>
    <col min="14086" max="14086" width="15" style="229" customWidth="1"/>
    <col min="14087" max="14338" width="10.6640625" style="229"/>
    <col min="14339" max="14339" width="60.1640625" style="229" customWidth="1"/>
    <col min="14340" max="14340" width="48.83203125" style="229" customWidth="1"/>
    <col min="14341" max="14341" width="16.5" style="229" bestFit="1" customWidth="1"/>
    <col min="14342" max="14342" width="15" style="229" customWidth="1"/>
    <col min="14343" max="14594" width="10.6640625" style="229"/>
    <col min="14595" max="14595" width="60.1640625" style="229" customWidth="1"/>
    <col min="14596" max="14596" width="48.83203125" style="229" customWidth="1"/>
    <col min="14597" max="14597" width="16.5" style="229" bestFit="1" customWidth="1"/>
    <col min="14598" max="14598" width="15" style="229" customWidth="1"/>
    <col min="14599" max="14850" width="10.6640625" style="229"/>
    <col min="14851" max="14851" width="60.1640625" style="229" customWidth="1"/>
    <col min="14852" max="14852" width="48.83203125" style="229" customWidth="1"/>
    <col min="14853" max="14853" width="16.5" style="229" bestFit="1" customWidth="1"/>
    <col min="14854" max="14854" width="15" style="229" customWidth="1"/>
    <col min="14855" max="15106" width="10.6640625" style="229"/>
    <col min="15107" max="15107" width="60.1640625" style="229" customWidth="1"/>
    <col min="15108" max="15108" width="48.83203125" style="229" customWidth="1"/>
    <col min="15109" max="15109" width="16.5" style="229" bestFit="1" customWidth="1"/>
    <col min="15110" max="15110" width="15" style="229" customWidth="1"/>
    <col min="15111" max="15362" width="10.6640625" style="229"/>
    <col min="15363" max="15363" width="60.1640625" style="229" customWidth="1"/>
    <col min="15364" max="15364" width="48.83203125" style="229" customWidth="1"/>
    <col min="15365" max="15365" width="16.5" style="229" bestFit="1" customWidth="1"/>
    <col min="15366" max="15366" width="15" style="229" customWidth="1"/>
    <col min="15367" max="15618" width="10.6640625" style="229"/>
    <col min="15619" max="15619" width="60.1640625" style="229" customWidth="1"/>
    <col min="15620" max="15620" width="48.83203125" style="229" customWidth="1"/>
    <col min="15621" max="15621" width="16.5" style="229" bestFit="1" customWidth="1"/>
    <col min="15622" max="15622" width="15" style="229" customWidth="1"/>
    <col min="15623" max="15874" width="10.6640625" style="229"/>
    <col min="15875" max="15875" width="60.1640625" style="229" customWidth="1"/>
    <col min="15876" max="15876" width="48.83203125" style="229" customWidth="1"/>
    <col min="15877" max="15877" width="16.5" style="229" bestFit="1" customWidth="1"/>
    <col min="15878" max="15878" width="15" style="229" customWidth="1"/>
    <col min="15879" max="16130" width="10.6640625" style="229"/>
    <col min="16131" max="16131" width="60.1640625" style="229" customWidth="1"/>
    <col min="16132" max="16132" width="48.83203125" style="229" customWidth="1"/>
    <col min="16133" max="16133" width="16.5" style="229" bestFit="1" customWidth="1"/>
    <col min="16134" max="16134" width="15" style="229" customWidth="1"/>
    <col min="16135" max="16384" width="10.6640625" style="229"/>
  </cols>
  <sheetData>
    <row r="1" spans="1:4" ht="12.75" x14ac:dyDescent="0.2">
      <c r="A1" s="1437" t="str">
        <f>CONCATENATE("29. melléklet ",ALAPADATOK!A7," ",ALAPADATOK!B7," ",ALAPADATOK!C7," ",ALAPADATOK!D8," ",ALAPADATOK!E7," ",ALAPADATOK!F7," ",ALAPADATOK!G7," ",ALAPADATOK!H7)</f>
        <v>29. melléklet az 5 / 2023. ( II.24. ) önkormányzati rendelethez</v>
      </c>
      <c r="B1" s="1437"/>
      <c r="C1" s="1437"/>
      <c r="D1" s="1437"/>
    </row>
    <row r="2" spans="1:4" ht="17.25" customHeight="1" x14ac:dyDescent="0.2">
      <c r="C2" s="227"/>
      <c r="D2" s="1131" t="s">
        <v>1026</v>
      </c>
    </row>
    <row r="3" spans="1:4" ht="42" customHeight="1" x14ac:dyDescent="0.2">
      <c r="A3" s="1438" t="s">
        <v>1001</v>
      </c>
      <c r="B3" s="1438"/>
      <c r="C3" s="1438"/>
      <c r="D3" s="1438"/>
    </row>
    <row r="4" spans="1:4" ht="33" customHeight="1" thickBot="1" x14ac:dyDescent="0.3">
      <c r="C4" s="228"/>
      <c r="D4" s="724"/>
    </row>
    <row r="5" spans="1:4" ht="45" customHeight="1" thickBot="1" x14ac:dyDescent="0.25">
      <c r="A5" s="1181" t="s">
        <v>714</v>
      </c>
      <c r="B5" s="1173" t="s">
        <v>751</v>
      </c>
      <c r="C5" s="1004" t="s">
        <v>702</v>
      </c>
      <c r="D5" s="1005" t="s">
        <v>1002</v>
      </c>
    </row>
    <row r="6" spans="1:4" x14ac:dyDescent="0.2">
      <c r="A6" s="1182" t="s">
        <v>16</v>
      </c>
      <c r="B6" s="754" t="s">
        <v>752</v>
      </c>
      <c r="C6" s="747" t="s">
        <v>364</v>
      </c>
      <c r="D6" s="910">
        <f>176680325+1334225</f>
        <v>178014550</v>
      </c>
    </row>
    <row r="7" spans="1:4" x14ac:dyDescent="0.2">
      <c r="A7" s="1183" t="s">
        <v>17</v>
      </c>
      <c r="B7" s="755" t="s">
        <v>753</v>
      </c>
      <c r="C7" s="753" t="s">
        <v>754</v>
      </c>
      <c r="D7" s="781">
        <f>19945800+633200</f>
        <v>20579000</v>
      </c>
    </row>
    <row r="8" spans="1:4" x14ac:dyDescent="0.2">
      <c r="A8" s="1183" t="s">
        <v>18</v>
      </c>
      <c r="B8" s="755" t="s">
        <v>763</v>
      </c>
      <c r="C8" s="753" t="s">
        <v>755</v>
      </c>
      <c r="D8" s="781">
        <f>35440000+974600</f>
        <v>36414600</v>
      </c>
    </row>
    <row r="9" spans="1:4" ht="15" customHeight="1" x14ac:dyDescent="0.2">
      <c r="A9" s="1183" t="s">
        <v>19</v>
      </c>
      <c r="B9" s="755" t="s">
        <v>762</v>
      </c>
      <c r="C9" s="753" t="s">
        <v>756</v>
      </c>
      <c r="D9" s="781">
        <f>7111416+752169</f>
        <v>7863585</v>
      </c>
    </row>
    <row r="10" spans="1:4" x14ac:dyDescent="0.2">
      <c r="A10" s="1183" t="s">
        <v>20</v>
      </c>
      <c r="B10" s="755" t="s">
        <v>759</v>
      </c>
      <c r="C10" s="753" t="s">
        <v>757</v>
      </c>
      <c r="D10" s="781">
        <f>21392481+527775</f>
        <v>21920256</v>
      </c>
    </row>
    <row r="11" spans="1:4" x14ac:dyDescent="0.2">
      <c r="A11" s="1183" t="s">
        <v>21</v>
      </c>
      <c r="B11" s="755" t="s">
        <v>760</v>
      </c>
      <c r="C11" s="753" t="s">
        <v>758</v>
      </c>
      <c r="D11" s="781">
        <f>35000100+1296300</f>
        <v>36296400</v>
      </c>
    </row>
    <row r="12" spans="1:4" ht="17.25" customHeight="1" x14ac:dyDescent="0.2">
      <c r="A12" s="1183" t="s">
        <v>22</v>
      </c>
      <c r="B12" s="755" t="s">
        <v>761</v>
      </c>
      <c r="C12" s="753" t="s">
        <v>365</v>
      </c>
      <c r="D12" s="781">
        <f>140250+8250</f>
        <v>148500</v>
      </c>
    </row>
    <row r="13" spans="1:4" ht="17.25" customHeight="1" thickBot="1" x14ac:dyDescent="0.25">
      <c r="A13" s="1184" t="s">
        <v>23</v>
      </c>
      <c r="B13" s="758"/>
      <c r="C13" s="760" t="s">
        <v>831</v>
      </c>
      <c r="D13" s="782"/>
    </row>
    <row r="14" spans="1:4" ht="32.25" thickBot="1" x14ac:dyDescent="0.25">
      <c r="A14" s="1185" t="s">
        <v>24</v>
      </c>
      <c r="B14" s="756" t="s">
        <v>85</v>
      </c>
      <c r="C14" s="745" t="s">
        <v>887</v>
      </c>
      <c r="D14" s="750">
        <f>SUM(D6:D13)</f>
        <v>301236891</v>
      </c>
    </row>
    <row r="15" spans="1:4" x14ac:dyDescent="0.2">
      <c r="A15" s="1186" t="s">
        <v>25</v>
      </c>
      <c r="B15" s="1174" t="s">
        <v>764</v>
      </c>
      <c r="C15" s="763" t="s">
        <v>765</v>
      </c>
      <c r="D15" s="1169">
        <f>37257000+6774000-440000-330000-140000</f>
        <v>43121000</v>
      </c>
    </row>
    <row r="16" spans="1:4" x14ac:dyDescent="0.2">
      <c r="A16" s="1187" t="s">
        <v>26</v>
      </c>
      <c r="B16" s="1175" t="s">
        <v>766</v>
      </c>
      <c r="C16" s="764" t="s">
        <v>767</v>
      </c>
      <c r="D16" s="1309">
        <f>142441950+11761020-972300-972300-160560</f>
        <v>152097810</v>
      </c>
    </row>
    <row r="17" spans="1:4" ht="31.5" x14ac:dyDescent="0.2">
      <c r="A17" s="1187" t="s">
        <v>27</v>
      </c>
      <c r="B17" s="1175" t="s">
        <v>880</v>
      </c>
      <c r="C17" s="907" t="s">
        <v>768</v>
      </c>
      <c r="D17" s="1170">
        <f>7344000+606730-1296000+792000+432000-71380</f>
        <v>7807350</v>
      </c>
    </row>
    <row r="18" spans="1:4" ht="31.5" x14ac:dyDescent="0.2">
      <c r="A18" s="1187" t="s">
        <v>28</v>
      </c>
      <c r="B18" s="1175" t="s">
        <v>881</v>
      </c>
      <c r="C18" s="907" t="s">
        <v>769</v>
      </c>
      <c r="D18" s="1170">
        <f>8055000+664850-1611000+483300-93079+65440</f>
        <v>7564511</v>
      </c>
    </row>
    <row r="19" spans="1:4" x14ac:dyDescent="0.2">
      <c r="A19" s="1187" t="s">
        <v>29</v>
      </c>
      <c r="B19" s="769" t="s">
        <v>771</v>
      </c>
      <c r="C19" s="764" t="s">
        <v>770</v>
      </c>
      <c r="D19" s="781">
        <f>70119000+11319000</f>
        <v>81438000</v>
      </c>
    </row>
    <row r="20" spans="1:4" ht="16.5" thickBot="1" x14ac:dyDescent="0.25">
      <c r="A20" s="1188" t="s">
        <v>30</v>
      </c>
      <c r="B20" s="1171" t="s">
        <v>1043</v>
      </c>
      <c r="C20" s="761" t="s">
        <v>1042</v>
      </c>
      <c r="D20" s="1269">
        <v>240000</v>
      </c>
    </row>
    <row r="21" spans="1:4" ht="32.25" thickBot="1" x14ac:dyDescent="0.25">
      <c r="A21" s="1185" t="s">
        <v>31</v>
      </c>
      <c r="B21" s="756" t="s">
        <v>86</v>
      </c>
      <c r="C21" s="745" t="s">
        <v>1044</v>
      </c>
      <c r="D21" s="1310">
        <f>SUM(D15:D20)</f>
        <v>292268671</v>
      </c>
    </row>
    <row r="22" spans="1:4" ht="31.5" customHeight="1" thickBot="1" x14ac:dyDescent="0.25">
      <c r="A22" s="1189" t="s">
        <v>32</v>
      </c>
      <c r="B22" s="746" t="s">
        <v>773</v>
      </c>
      <c r="C22" s="762" t="s">
        <v>772</v>
      </c>
      <c r="D22" s="783">
        <v>114133484</v>
      </c>
    </row>
    <row r="23" spans="1:4" x14ac:dyDescent="0.2">
      <c r="A23" s="1186" t="s">
        <v>33</v>
      </c>
      <c r="B23" s="1176" t="s">
        <v>776</v>
      </c>
      <c r="C23" s="763" t="s">
        <v>774</v>
      </c>
      <c r="D23" s="752">
        <f>6859904+1346400</f>
        <v>8206304</v>
      </c>
    </row>
    <row r="24" spans="1:4" x14ac:dyDescent="0.2">
      <c r="A24" s="1187" t="s">
        <v>34</v>
      </c>
      <c r="B24" s="769" t="s">
        <v>777</v>
      </c>
      <c r="C24" s="764" t="s">
        <v>775</v>
      </c>
      <c r="D24" s="781">
        <f>23958474+6074140</f>
        <v>30032614</v>
      </c>
    </row>
    <row r="25" spans="1:4" x14ac:dyDescent="0.2">
      <c r="A25" s="1187" t="s">
        <v>35</v>
      </c>
      <c r="B25" s="769" t="s">
        <v>779</v>
      </c>
      <c r="C25" s="764" t="s">
        <v>778</v>
      </c>
      <c r="D25" s="781">
        <f>4068600+360000</f>
        <v>4428600</v>
      </c>
    </row>
    <row r="26" spans="1:4" x14ac:dyDescent="0.2">
      <c r="A26" s="1187" t="s">
        <v>36</v>
      </c>
      <c r="B26" s="769" t="s">
        <v>782</v>
      </c>
      <c r="C26" s="764" t="s">
        <v>780</v>
      </c>
      <c r="D26" s="781">
        <f>25000-25000</f>
        <v>0</v>
      </c>
    </row>
    <row r="27" spans="1:4" x14ac:dyDescent="0.2">
      <c r="A27" s="1187" t="s">
        <v>37</v>
      </c>
      <c r="B27" s="769" t="s">
        <v>783</v>
      </c>
      <c r="C27" s="764" t="s">
        <v>781</v>
      </c>
      <c r="D27" s="781">
        <f>25535710+5494000+762260-762260</f>
        <v>31029710</v>
      </c>
    </row>
    <row r="28" spans="1:4" x14ac:dyDescent="0.2">
      <c r="A28" s="1187" t="s">
        <v>38</v>
      </c>
      <c r="B28" s="769" t="s">
        <v>882</v>
      </c>
      <c r="C28" s="764" t="s">
        <v>883</v>
      </c>
      <c r="D28" s="781">
        <f>4590600+551700</f>
        <v>5142300</v>
      </c>
    </row>
    <row r="29" spans="1:4" x14ac:dyDescent="0.2">
      <c r="A29" s="1187" t="s">
        <v>39</v>
      </c>
      <c r="B29" s="769" t="s">
        <v>785</v>
      </c>
      <c r="C29" s="764" t="s">
        <v>784</v>
      </c>
      <c r="D29" s="1170">
        <f>3610080+912000+451260-225630+57000</f>
        <v>4804710</v>
      </c>
    </row>
    <row r="30" spans="1:4" x14ac:dyDescent="0.2">
      <c r="A30" s="1187" t="s">
        <v>40</v>
      </c>
      <c r="B30" s="769" t="s">
        <v>786</v>
      </c>
      <c r="C30" s="764" t="s">
        <v>796</v>
      </c>
      <c r="D30" s="781">
        <v>3000000</v>
      </c>
    </row>
    <row r="31" spans="1:4" x14ac:dyDescent="0.2">
      <c r="A31" s="1187" t="s">
        <v>41</v>
      </c>
      <c r="B31" s="769" t="s">
        <v>787</v>
      </c>
      <c r="C31" s="764" t="s">
        <v>797</v>
      </c>
      <c r="D31" s="781">
        <f>20308890+3489500+1225110+210500</f>
        <v>25234000</v>
      </c>
    </row>
    <row r="32" spans="1:4" x14ac:dyDescent="0.2">
      <c r="A32" s="1187" t="s">
        <v>42</v>
      </c>
      <c r="B32" s="769" t="s">
        <v>826</v>
      </c>
      <c r="C32" s="764" t="s">
        <v>825</v>
      </c>
      <c r="D32" s="1309">
        <f>153930858-22213697</f>
        <v>131717161</v>
      </c>
    </row>
    <row r="33" spans="1:5" ht="16.5" thickBot="1" x14ac:dyDescent="0.25">
      <c r="A33" s="1190" t="s">
        <v>43</v>
      </c>
      <c r="B33" s="778" t="s">
        <v>829</v>
      </c>
      <c r="C33" s="774" t="s">
        <v>830</v>
      </c>
      <c r="D33" s="784">
        <v>15968312</v>
      </c>
    </row>
    <row r="34" spans="1:5" ht="32.25" thickBot="1" x14ac:dyDescent="0.25">
      <c r="A34" s="1191" t="s">
        <v>732</v>
      </c>
      <c r="B34" s="757" t="s">
        <v>885</v>
      </c>
      <c r="C34" s="745" t="s">
        <v>1046</v>
      </c>
      <c r="D34" s="748">
        <f>SUM(D23:D33)</f>
        <v>259563711</v>
      </c>
    </row>
    <row r="35" spans="1:5" x14ac:dyDescent="0.2">
      <c r="A35" s="1192" t="s">
        <v>805</v>
      </c>
      <c r="B35" s="1177" t="s">
        <v>791</v>
      </c>
      <c r="C35" s="770" t="s">
        <v>788</v>
      </c>
      <c r="D35" s="1311">
        <f>35700000+13234900-5100000-1890700</f>
        <v>41944200</v>
      </c>
    </row>
    <row r="36" spans="1:5" ht="31.5" x14ac:dyDescent="0.2">
      <c r="A36" s="1192" t="s">
        <v>806</v>
      </c>
      <c r="B36" s="1177" t="s">
        <v>792</v>
      </c>
      <c r="C36" s="770" t="s">
        <v>789</v>
      </c>
      <c r="D36" s="1198">
        <f>34080000+9544000+17040000+4772000</f>
        <v>65436000</v>
      </c>
    </row>
    <row r="37" spans="1:5" ht="16.5" thickBot="1" x14ac:dyDescent="0.25">
      <c r="A37" s="1193" t="s">
        <v>807</v>
      </c>
      <c r="B37" s="1178" t="s">
        <v>793</v>
      </c>
      <c r="C37" s="771" t="s">
        <v>790</v>
      </c>
      <c r="D37" s="1270">
        <f>12275000-12275000+9030000</f>
        <v>9030000</v>
      </c>
    </row>
    <row r="38" spans="1:5" ht="16.5" thickBot="1" x14ac:dyDescent="0.25">
      <c r="A38" s="1191" t="s">
        <v>814</v>
      </c>
      <c r="B38" s="757" t="s">
        <v>794</v>
      </c>
      <c r="C38" s="772" t="s">
        <v>795</v>
      </c>
      <c r="D38" s="748">
        <f>SUM(D35:D37)</f>
        <v>116410200</v>
      </c>
      <c r="E38" s="247"/>
    </row>
    <row r="39" spans="1:5" x14ac:dyDescent="0.2">
      <c r="A39" s="1182" t="s">
        <v>815</v>
      </c>
      <c r="B39" s="754" t="s">
        <v>798</v>
      </c>
      <c r="C39" s="773" t="s">
        <v>802</v>
      </c>
      <c r="D39" s="910">
        <f>157500000+32896500</f>
        <v>190396500</v>
      </c>
    </row>
    <row r="40" spans="1:5" ht="16.5" thickBot="1" x14ac:dyDescent="0.25">
      <c r="A40" s="1184" t="s">
        <v>816</v>
      </c>
      <c r="B40" s="758" t="s">
        <v>799</v>
      </c>
      <c r="C40" s="774" t="s">
        <v>801</v>
      </c>
      <c r="D40" s="1271">
        <f>50534000+15394000+17106000</f>
        <v>83034000</v>
      </c>
    </row>
    <row r="41" spans="1:5" ht="30" customHeight="1" thickBot="1" x14ac:dyDescent="0.25">
      <c r="A41" s="1194" t="s">
        <v>817</v>
      </c>
      <c r="B41" s="759" t="s">
        <v>800</v>
      </c>
      <c r="C41" s="775" t="s">
        <v>804</v>
      </c>
      <c r="D41" s="783">
        <f>SUM(D39:D40)</f>
        <v>273430500</v>
      </c>
    </row>
    <row r="42" spans="1:5" ht="32.25" thickBot="1" x14ac:dyDescent="0.25">
      <c r="A42" s="1185" t="s">
        <v>819</v>
      </c>
      <c r="B42" s="756" t="s">
        <v>803</v>
      </c>
      <c r="C42" s="749" t="s">
        <v>1047</v>
      </c>
      <c r="D42" s="750">
        <f>D22+D34+D38+D41</f>
        <v>763537895</v>
      </c>
    </row>
    <row r="43" spans="1:5" x14ac:dyDescent="0.2">
      <c r="A43" s="1195" t="s">
        <v>820</v>
      </c>
      <c r="B43" s="777" t="s">
        <v>808</v>
      </c>
      <c r="C43" s="751" t="s">
        <v>813</v>
      </c>
      <c r="D43" s="1169">
        <f>80024340+8464491-927960-122100-111069</f>
        <v>87327702</v>
      </c>
    </row>
    <row r="44" spans="1:5" x14ac:dyDescent="0.2">
      <c r="A44" s="1192" t="s">
        <v>822</v>
      </c>
      <c r="B44" s="1177" t="s">
        <v>809</v>
      </c>
      <c r="C44" s="770" t="s">
        <v>812</v>
      </c>
      <c r="D44" s="781">
        <f>130235998+9943669-2524782+35651405</f>
        <v>173306290</v>
      </c>
    </row>
    <row r="45" spans="1:5" ht="16.5" thickBot="1" x14ac:dyDescent="0.25">
      <c r="A45" s="1196" t="s">
        <v>832</v>
      </c>
      <c r="B45" s="1179" t="s">
        <v>810</v>
      </c>
      <c r="C45" s="771" t="s">
        <v>811</v>
      </c>
      <c r="D45" s="1272">
        <f>52279830-95418-7025535</f>
        <v>45158877</v>
      </c>
    </row>
    <row r="46" spans="1:5" ht="32.25" thickBot="1" x14ac:dyDescent="0.25">
      <c r="A46" s="1185" t="s">
        <v>833</v>
      </c>
      <c r="B46" s="756" t="s">
        <v>88</v>
      </c>
      <c r="C46" s="776" t="s">
        <v>1048</v>
      </c>
      <c r="D46" s="750">
        <f>SUM(D43:D45)</f>
        <v>305792869</v>
      </c>
    </row>
    <row r="47" spans="1:5" ht="31.5" x14ac:dyDescent="0.2">
      <c r="A47" s="1182" t="s">
        <v>886</v>
      </c>
      <c r="B47" s="754" t="s">
        <v>818</v>
      </c>
      <c r="C47" s="779" t="s">
        <v>821</v>
      </c>
      <c r="D47" s="911">
        <v>28687119</v>
      </c>
    </row>
    <row r="48" spans="1:5" x14ac:dyDescent="0.2">
      <c r="A48" s="1197" t="s">
        <v>834</v>
      </c>
      <c r="B48" s="1180" t="s">
        <v>827</v>
      </c>
      <c r="C48" s="904" t="s">
        <v>828</v>
      </c>
      <c r="D48" s="905">
        <v>12600000</v>
      </c>
    </row>
    <row r="49" spans="1:6" ht="16.5" thickBot="1" x14ac:dyDescent="0.25">
      <c r="A49" s="1184" t="s">
        <v>835</v>
      </c>
      <c r="B49" s="758" t="s">
        <v>869</v>
      </c>
      <c r="C49" s="906" t="s">
        <v>870</v>
      </c>
      <c r="D49" s="782">
        <v>1055000</v>
      </c>
    </row>
    <row r="50" spans="1:6" ht="32.25" thickBot="1" x14ac:dyDescent="0.25">
      <c r="A50" s="1185" t="s">
        <v>868</v>
      </c>
      <c r="B50" s="756" t="s">
        <v>111</v>
      </c>
      <c r="C50" s="776" t="s">
        <v>1049</v>
      </c>
      <c r="D50" s="750">
        <f>SUM(D47:D49)</f>
        <v>42342119</v>
      </c>
    </row>
    <row r="51" spans="1:6" ht="20.25" customHeight="1" thickBot="1" x14ac:dyDescent="0.25">
      <c r="A51" s="1185" t="s">
        <v>884</v>
      </c>
      <c r="B51" s="756" t="s">
        <v>823</v>
      </c>
      <c r="C51" s="780" t="s">
        <v>824</v>
      </c>
      <c r="D51" s="750">
        <v>-5091319</v>
      </c>
    </row>
    <row r="52" spans="1:6" ht="16.5" thickBot="1" x14ac:dyDescent="0.25">
      <c r="A52" s="1172" t="s">
        <v>1045</v>
      </c>
      <c r="B52" s="1435" t="s">
        <v>1050</v>
      </c>
      <c r="C52" s="1436"/>
      <c r="D52" s="785">
        <f>D14+D21+D42+D46+D50+D51</f>
        <v>1700087126</v>
      </c>
      <c r="F52" s="247"/>
    </row>
    <row r="54" spans="1:6" x14ac:dyDescent="0.25">
      <c r="B54" s="766"/>
      <c r="C54" s="765"/>
    </row>
    <row r="55" spans="1:6" x14ac:dyDescent="0.25">
      <c r="B55" s="766"/>
      <c r="C55" s="765"/>
    </row>
    <row r="56" spans="1:6" x14ac:dyDescent="0.25">
      <c r="B56" s="767"/>
      <c r="C56" s="768"/>
    </row>
    <row r="57" spans="1:6" x14ac:dyDescent="0.25">
      <c r="B57" s="766"/>
      <c r="C57" s="765"/>
    </row>
  </sheetData>
  <mergeCells count="3">
    <mergeCell ref="B52:C52"/>
    <mergeCell ref="A1:D1"/>
    <mergeCell ref="A3:D3"/>
  </mergeCells>
  <phoneticPr fontId="3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D25"/>
  <sheetViews>
    <sheetView topLeftCell="A16" zoomScale="130" zoomScaleNormal="130" zoomScaleSheetLayoutView="130" workbookViewId="0">
      <selection activeCell="G10" sqref="G10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7.5" bestFit="1" customWidth="1"/>
  </cols>
  <sheetData>
    <row r="1" spans="1:4" x14ac:dyDescent="0.2">
      <c r="A1" s="1372" t="str">
        <f>CONCATENATE("30. melléklet ",ALAPADATOK!A7," ",ALAPADATOK!B7," ",ALAPADATOK!C7," ",ALAPADATOK!D7," ",ALAPADATOK!E7," ",ALAPADATOK!F7," ",ALAPADATOK!G7," ",ALAPADATOK!H7)</f>
        <v>30. melléklet az 5 / 2022. ( II.24. ) önkormányzati rendelethez</v>
      </c>
      <c r="B1" s="1372"/>
      <c r="C1" s="1372"/>
      <c r="D1" s="1372"/>
    </row>
    <row r="2" spans="1:4" x14ac:dyDescent="0.2">
      <c r="D2" s="1131" t="s">
        <v>1027</v>
      </c>
    </row>
    <row r="3" spans="1:4" ht="45" customHeight="1" x14ac:dyDescent="0.25">
      <c r="A3" s="1439" t="s">
        <v>1003</v>
      </c>
      <c r="B3" s="1439"/>
      <c r="C3" s="1439"/>
      <c r="D3" s="1439"/>
    </row>
    <row r="4" spans="1:4" ht="17.25" customHeight="1" x14ac:dyDescent="0.25">
      <c r="A4" s="682"/>
      <c r="B4" s="682"/>
      <c r="C4" s="682"/>
      <c r="D4" s="551"/>
    </row>
    <row r="5" spans="1:4" ht="13.5" thickBot="1" x14ac:dyDescent="0.25">
      <c r="C5" s="1440"/>
      <c r="D5" s="1440"/>
    </row>
    <row r="6" spans="1:4" ht="42.75" customHeight="1" thickBot="1" x14ac:dyDescent="0.25">
      <c r="A6" s="1112" t="s">
        <v>714</v>
      </c>
      <c r="B6" s="552" t="s">
        <v>107</v>
      </c>
      <c r="C6" s="552" t="s">
        <v>108</v>
      </c>
      <c r="D6" s="1006" t="s">
        <v>930</v>
      </c>
    </row>
    <row r="7" spans="1:4" ht="15.95" customHeight="1" x14ac:dyDescent="0.2">
      <c r="A7" s="1115" t="s">
        <v>16</v>
      </c>
      <c r="B7" s="1113" t="s">
        <v>366</v>
      </c>
      <c r="C7" s="997" t="s">
        <v>367</v>
      </c>
      <c r="D7" s="998">
        <v>6000000</v>
      </c>
    </row>
    <row r="8" spans="1:4" ht="15.95" customHeight="1" x14ac:dyDescent="0.2">
      <c r="A8" s="1116" t="s">
        <v>17</v>
      </c>
      <c r="B8" s="1114" t="s">
        <v>368</v>
      </c>
      <c r="C8" s="24" t="s">
        <v>367</v>
      </c>
      <c r="D8" s="914">
        <v>2500000</v>
      </c>
    </row>
    <row r="9" spans="1:4" ht="15.95" customHeight="1" x14ac:dyDescent="0.2">
      <c r="A9" s="1116" t="s">
        <v>18</v>
      </c>
      <c r="B9" s="1114" t="s">
        <v>369</v>
      </c>
      <c r="C9" s="24" t="s">
        <v>367</v>
      </c>
      <c r="D9" s="914">
        <v>1000000</v>
      </c>
    </row>
    <row r="10" spans="1:4" ht="15.95" customHeight="1" x14ac:dyDescent="0.2">
      <c r="A10" s="1116" t="s">
        <v>19</v>
      </c>
      <c r="B10" s="1114" t="s">
        <v>370</v>
      </c>
      <c r="C10" s="641" t="s">
        <v>367</v>
      </c>
      <c r="D10" s="914">
        <v>7500000</v>
      </c>
    </row>
    <row r="11" spans="1:4" ht="15.95" customHeight="1" x14ac:dyDescent="0.2">
      <c r="A11" s="1116" t="s">
        <v>20</v>
      </c>
      <c r="B11" s="1114" t="s">
        <v>371</v>
      </c>
      <c r="C11" s="231" t="s">
        <v>367</v>
      </c>
      <c r="D11" s="914">
        <v>300000</v>
      </c>
    </row>
    <row r="12" spans="1:4" ht="15.95" customHeight="1" x14ac:dyDescent="0.2">
      <c r="A12" s="1116" t="s">
        <v>21</v>
      </c>
      <c r="B12" s="1114" t="s">
        <v>372</v>
      </c>
      <c r="C12" s="641" t="s">
        <v>367</v>
      </c>
      <c r="D12" s="914">
        <f>1000000-150000</f>
        <v>850000</v>
      </c>
    </row>
    <row r="13" spans="1:4" ht="15.95" customHeight="1" x14ac:dyDescent="0.2">
      <c r="A13" s="1116" t="s">
        <v>22</v>
      </c>
      <c r="B13" s="1114" t="s">
        <v>372</v>
      </c>
      <c r="C13" s="641" t="s">
        <v>373</v>
      </c>
      <c r="D13" s="914">
        <v>150000</v>
      </c>
    </row>
    <row r="14" spans="1:4" ht="15.95" customHeight="1" x14ac:dyDescent="0.2">
      <c r="A14" s="1116" t="s">
        <v>23</v>
      </c>
      <c r="B14" s="1114" t="s">
        <v>737</v>
      </c>
      <c r="C14" s="230" t="s">
        <v>367</v>
      </c>
      <c r="D14" s="914">
        <v>1000000</v>
      </c>
    </row>
    <row r="15" spans="1:4" ht="15.95" customHeight="1" x14ac:dyDescent="0.2">
      <c r="A15" s="1116" t="s">
        <v>24</v>
      </c>
      <c r="B15" s="1114" t="s">
        <v>1004</v>
      </c>
      <c r="C15" s="641" t="s">
        <v>367</v>
      </c>
      <c r="D15" s="914">
        <v>2090159</v>
      </c>
    </row>
    <row r="16" spans="1:4" ht="15.95" customHeight="1" x14ac:dyDescent="0.2">
      <c r="A16" s="1116" t="s">
        <v>25</v>
      </c>
      <c r="B16" s="1144" t="s">
        <v>1004</v>
      </c>
      <c r="C16" s="1145" t="s">
        <v>373</v>
      </c>
      <c r="D16" s="1146">
        <f>1423277+577815</f>
        <v>2001092</v>
      </c>
    </row>
    <row r="17" spans="1:4" ht="15.95" customHeight="1" x14ac:dyDescent="0.2">
      <c r="A17" s="1116" t="s">
        <v>26</v>
      </c>
      <c r="B17" s="1114" t="s">
        <v>490</v>
      </c>
      <c r="C17" s="641" t="s">
        <v>367</v>
      </c>
      <c r="D17" s="914">
        <v>200000</v>
      </c>
    </row>
    <row r="18" spans="1:4" ht="15.95" customHeight="1" x14ac:dyDescent="0.2">
      <c r="A18" s="1116" t="s">
        <v>27</v>
      </c>
      <c r="B18" s="1114" t="s">
        <v>509</v>
      </c>
      <c r="C18" s="641" t="s">
        <v>367</v>
      </c>
      <c r="D18" s="914">
        <v>136000000</v>
      </c>
    </row>
    <row r="19" spans="1:4" ht="15.95" customHeight="1" x14ac:dyDescent="0.2">
      <c r="A19" s="1116" t="s">
        <v>28</v>
      </c>
      <c r="B19" s="1114" t="s">
        <v>511</v>
      </c>
      <c r="C19" s="641" t="s">
        <v>367</v>
      </c>
      <c r="D19" s="914">
        <v>500000</v>
      </c>
    </row>
    <row r="20" spans="1:4" ht="15.95" customHeight="1" x14ac:dyDescent="0.2">
      <c r="A20" s="1116" t="s">
        <v>29</v>
      </c>
      <c r="B20" s="1114" t="s">
        <v>589</v>
      </c>
      <c r="C20" s="641" t="s">
        <v>367</v>
      </c>
      <c r="D20" s="914">
        <v>31762000</v>
      </c>
    </row>
    <row r="21" spans="1:4" ht="15.95" customHeight="1" x14ac:dyDescent="0.2">
      <c r="A21" s="1116" t="s">
        <v>30</v>
      </c>
      <c r="B21" s="1114" t="s">
        <v>937</v>
      </c>
      <c r="C21" s="641" t="s">
        <v>367</v>
      </c>
      <c r="D21" s="914">
        <v>752070</v>
      </c>
    </row>
    <row r="22" spans="1:4" ht="15.95" customHeight="1" x14ac:dyDescent="0.2">
      <c r="A22" s="1116" t="s">
        <v>31</v>
      </c>
      <c r="B22" s="1144" t="s">
        <v>378</v>
      </c>
      <c r="C22" s="1145" t="s">
        <v>367</v>
      </c>
      <c r="D22" s="1146">
        <v>1330000</v>
      </c>
    </row>
    <row r="23" spans="1:4" ht="15.95" customHeight="1" x14ac:dyDescent="0.2">
      <c r="A23" s="1116" t="s">
        <v>32</v>
      </c>
      <c r="B23" s="1144" t="s">
        <v>1052</v>
      </c>
      <c r="C23" s="1145" t="s">
        <v>373</v>
      </c>
      <c r="D23" s="1146">
        <v>190000</v>
      </c>
    </row>
    <row r="24" spans="1:4" ht="15.95" customHeight="1" thickBot="1" x14ac:dyDescent="0.25">
      <c r="A24" s="1152" t="s">
        <v>33</v>
      </c>
      <c r="B24" s="1144" t="s">
        <v>1051</v>
      </c>
      <c r="C24" s="1145" t="s">
        <v>367</v>
      </c>
      <c r="D24" s="1146">
        <f>234570+341802</f>
        <v>576372</v>
      </c>
    </row>
    <row r="25" spans="1:4" ht="15.95" customHeight="1" thickBot="1" x14ac:dyDescent="0.25">
      <c r="A25" s="1147" t="s">
        <v>34</v>
      </c>
      <c r="B25" s="1441" t="s">
        <v>1053</v>
      </c>
      <c r="C25" s="1442"/>
      <c r="D25" s="915">
        <f>SUM(D7:D24)</f>
        <v>194701693</v>
      </c>
    </row>
  </sheetData>
  <mergeCells count="4">
    <mergeCell ref="A1:D1"/>
    <mergeCell ref="A3:D3"/>
    <mergeCell ref="C5:D5"/>
    <mergeCell ref="B25:C25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8"/>
  <sheetViews>
    <sheetView zoomScaleSheetLayoutView="85" zoomScalePageLayoutView="85" workbookViewId="0">
      <selection activeCell="I36" sqref="I36"/>
    </sheetView>
  </sheetViews>
  <sheetFormatPr defaultColWidth="10.6640625" defaultRowHeight="12.75" x14ac:dyDescent="0.2"/>
  <cols>
    <col min="1" max="1" width="8.83203125" style="660" customWidth="1"/>
    <col min="2" max="2" width="42.33203125" style="660" customWidth="1"/>
    <col min="3" max="3" width="15.5" style="289" bestFit="1" customWidth="1"/>
    <col min="4" max="4" width="15.1640625" style="289" bestFit="1" customWidth="1"/>
    <col min="5" max="5" width="14.83203125" style="289" customWidth="1"/>
    <col min="6" max="7" width="15.1640625" style="289" bestFit="1" customWidth="1"/>
    <col min="8" max="8" width="15.5" style="564" bestFit="1" customWidth="1"/>
    <col min="9" max="10" width="15.1640625" style="660" bestFit="1" customWidth="1"/>
    <col min="11" max="11" width="15.33203125" style="660" bestFit="1" customWidth="1"/>
    <col min="12" max="12" width="15.1640625" style="660" bestFit="1" customWidth="1"/>
    <col min="13" max="13" width="13.6640625" style="660" bestFit="1" customWidth="1"/>
    <col min="14" max="14" width="15.6640625" style="290" bestFit="1" customWidth="1"/>
    <col min="15" max="15" width="15.1640625" style="660" customWidth="1"/>
    <col min="16" max="16384" width="10.6640625" style="660"/>
  </cols>
  <sheetData>
    <row r="1" spans="1:193" x14ac:dyDescent="0.2">
      <c r="A1" s="1443" t="str">
        <f>CONCATENATE("30. melléklet ",ALAPADATOK!A7," ",ALAPADATOK!B7," ",ALAPADATOK!C7," ",ALAPADATOK!D8," ",ALAPADATOK!E7," ",ALAPADATOK!F7," ",ALAPADATOK!G7," ",ALAPADATOK!H7)</f>
        <v>30. melléklet az 5 / 2023. ( II.24. ) önkormányzati rendelethez</v>
      </c>
      <c r="B1" s="1443"/>
      <c r="C1" s="1443"/>
      <c r="D1" s="1443"/>
      <c r="E1" s="1443"/>
      <c r="F1" s="1443"/>
      <c r="G1" s="1443"/>
      <c r="H1" s="1443"/>
      <c r="I1" s="1443"/>
      <c r="J1" s="1443"/>
      <c r="K1" s="1443"/>
      <c r="L1" s="1443"/>
      <c r="M1" s="1443"/>
      <c r="N1" s="1443"/>
    </row>
    <row r="2" spans="1:193" ht="12.75" customHeight="1" x14ac:dyDescent="0.2">
      <c r="B2" s="291"/>
      <c r="F2" s="292"/>
      <c r="I2" s="291"/>
      <c r="J2" s="1444" t="s">
        <v>1028</v>
      </c>
      <c r="K2" s="1445"/>
      <c r="L2" s="1445"/>
      <c r="M2" s="1445"/>
      <c r="N2" s="1445"/>
    </row>
    <row r="3" spans="1:193" ht="17.25" customHeight="1" x14ac:dyDescent="0.35">
      <c r="A3" s="1446" t="s">
        <v>1015</v>
      </c>
      <c r="B3" s="1446"/>
      <c r="C3" s="1446"/>
      <c r="D3" s="1446"/>
      <c r="E3" s="1446"/>
      <c r="F3" s="1446"/>
      <c r="G3" s="1446"/>
      <c r="H3" s="1446"/>
      <c r="I3" s="1446"/>
      <c r="J3" s="1446"/>
      <c r="K3" s="1446"/>
      <c r="L3" s="1446"/>
      <c r="M3" s="1446"/>
      <c r="N3" s="1446"/>
    </row>
    <row r="4" spans="1:193" ht="19.5" x14ac:dyDescent="0.35">
      <c r="A4" s="1447" t="s">
        <v>374</v>
      </c>
      <c r="B4" s="1447"/>
      <c r="C4" s="1447"/>
      <c r="D4" s="1447"/>
      <c r="E4" s="1447"/>
      <c r="F4" s="1447"/>
      <c r="G4" s="1447"/>
      <c r="H4" s="1447"/>
      <c r="I4" s="1447"/>
      <c r="J4" s="1447"/>
      <c r="K4" s="1447"/>
      <c r="L4" s="1447"/>
      <c r="M4" s="1447"/>
      <c r="N4" s="1447"/>
    </row>
    <row r="5" spans="1:193" ht="18" thickBot="1" x14ac:dyDescent="0.35">
      <c r="B5" s="296"/>
      <c r="C5" s="294"/>
      <c r="D5" s="294"/>
      <c r="E5" s="294"/>
      <c r="F5" s="294"/>
      <c r="G5" s="294"/>
      <c r="H5" s="565"/>
      <c r="I5" s="295"/>
      <c r="J5" s="295"/>
      <c r="K5" s="295"/>
      <c r="L5" s="295"/>
      <c r="M5" s="295"/>
      <c r="N5" s="293"/>
    </row>
    <row r="6" spans="1:193" ht="15.75" customHeight="1" x14ac:dyDescent="0.25">
      <c r="A6" s="1451" t="s">
        <v>590</v>
      </c>
      <c r="B6" s="1453" t="s">
        <v>151</v>
      </c>
      <c r="C6" s="1448" t="s">
        <v>375</v>
      </c>
      <c r="D6" s="1449"/>
      <c r="E6" s="1449"/>
      <c r="F6" s="1449"/>
      <c r="G6" s="1449"/>
      <c r="H6" s="1450"/>
      <c r="I6" s="1448" t="s">
        <v>376</v>
      </c>
      <c r="J6" s="1449"/>
      <c r="K6" s="1449"/>
      <c r="L6" s="1449"/>
      <c r="M6" s="1449"/>
      <c r="N6" s="1450"/>
    </row>
    <row r="7" spans="1:193" ht="27" customHeight="1" thickBot="1" x14ac:dyDescent="0.25">
      <c r="A7" s="1452"/>
      <c r="B7" s="1454"/>
      <c r="C7" s="1007" t="s">
        <v>351</v>
      </c>
      <c r="D7" s="1008" t="s">
        <v>9</v>
      </c>
      <c r="E7" s="1008" t="s">
        <v>125</v>
      </c>
      <c r="F7" s="1008" t="s">
        <v>922</v>
      </c>
      <c r="G7" s="1008" t="s">
        <v>475</v>
      </c>
      <c r="H7" s="1009" t="s">
        <v>1017</v>
      </c>
      <c r="I7" s="1007" t="s">
        <v>923</v>
      </c>
      <c r="J7" s="1008" t="s">
        <v>909</v>
      </c>
      <c r="K7" s="1008" t="s">
        <v>924</v>
      </c>
      <c r="L7" s="1008" t="s">
        <v>109</v>
      </c>
      <c r="M7" s="1008" t="s">
        <v>380</v>
      </c>
      <c r="N7" s="1010" t="s">
        <v>1016</v>
      </c>
    </row>
    <row r="8" spans="1:193" ht="14.25" thickBot="1" x14ac:dyDescent="0.3">
      <c r="A8" s="1457" t="s">
        <v>591</v>
      </c>
      <c r="B8" s="1458"/>
      <c r="C8" s="1459"/>
      <c r="D8" s="1459"/>
      <c r="E8" s="1459"/>
      <c r="F8" s="1459"/>
      <c r="G8" s="1459"/>
      <c r="H8" s="1459"/>
      <c r="I8" s="1459"/>
      <c r="J8" s="1459"/>
      <c r="K8" s="1459"/>
      <c r="L8" s="1459"/>
      <c r="M8" s="1459"/>
      <c r="N8" s="1460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  <c r="BD8" s="297"/>
      <c r="BE8" s="297"/>
      <c r="BF8" s="297"/>
      <c r="BG8" s="297"/>
      <c r="BH8" s="297"/>
      <c r="BI8" s="297"/>
      <c r="BJ8" s="297"/>
      <c r="BK8" s="297"/>
      <c r="BL8" s="297"/>
      <c r="BM8" s="297"/>
      <c r="BN8" s="297"/>
      <c r="BO8" s="297"/>
      <c r="BP8" s="297"/>
      <c r="BQ8" s="297"/>
      <c r="BR8" s="297"/>
      <c r="BS8" s="297"/>
      <c r="BT8" s="297"/>
      <c r="BU8" s="297"/>
      <c r="BV8" s="297"/>
      <c r="BW8" s="297"/>
      <c r="BX8" s="297"/>
      <c r="BY8" s="297"/>
      <c r="BZ8" s="297"/>
      <c r="CA8" s="297"/>
      <c r="CB8" s="297"/>
      <c r="CC8" s="297"/>
      <c r="CD8" s="297"/>
      <c r="CE8" s="297"/>
      <c r="CF8" s="297"/>
      <c r="CG8" s="297"/>
      <c r="CH8" s="297"/>
      <c r="CI8" s="297"/>
      <c r="CJ8" s="297"/>
      <c r="CK8" s="297"/>
      <c r="CL8" s="297"/>
      <c r="CM8" s="297"/>
      <c r="CN8" s="297"/>
      <c r="CO8" s="297"/>
      <c r="CP8" s="297"/>
      <c r="CQ8" s="297"/>
      <c r="CR8" s="297"/>
      <c r="CS8" s="297"/>
      <c r="CT8" s="297"/>
      <c r="CU8" s="297"/>
      <c r="CV8" s="297"/>
      <c r="CW8" s="297"/>
      <c r="CX8" s="297"/>
      <c r="CY8" s="297"/>
      <c r="CZ8" s="297"/>
      <c r="DA8" s="297"/>
      <c r="DB8" s="297"/>
      <c r="DC8" s="297"/>
      <c r="DD8" s="297"/>
      <c r="DE8" s="297"/>
      <c r="DF8" s="297"/>
      <c r="DG8" s="297"/>
      <c r="DH8" s="297"/>
      <c r="DI8" s="297"/>
      <c r="DJ8" s="297"/>
      <c r="DK8" s="297"/>
      <c r="DL8" s="297"/>
      <c r="DM8" s="297"/>
      <c r="DN8" s="297"/>
      <c r="DO8" s="297"/>
      <c r="DP8" s="297"/>
      <c r="DQ8" s="297"/>
      <c r="DR8" s="297"/>
      <c r="DS8" s="297"/>
      <c r="DT8" s="297"/>
      <c r="DU8" s="297"/>
      <c r="DV8" s="297"/>
      <c r="DW8" s="297"/>
      <c r="DX8" s="297"/>
      <c r="DY8" s="297"/>
      <c r="DZ8" s="297"/>
      <c r="EA8" s="297"/>
      <c r="EB8" s="297"/>
      <c r="EC8" s="297"/>
      <c r="ED8" s="297"/>
      <c r="EE8" s="297"/>
      <c r="EF8" s="297"/>
      <c r="EG8" s="297"/>
      <c r="EH8" s="297"/>
      <c r="EI8" s="297"/>
      <c r="EJ8" s="297"/>
      <c r="EK8" s="297"/>
      <c r="EL8" s="297"/>
      <c r="EM8" s="297"/>
      <c r="EN8" s="297"/>
      <c r="EO8" s="297"/>
      <c r="EP8" s="297"/>
      <c r="EQ8" s="297"/>
      <c r="ER8" s="297"/>
      <c r="ES8" s="297"/>
      <c r="ET8" s="297"/>
      <c r="EU8" s="297"/>
      <c r="EV8" s="297"/>
      <c r="EW8" s="297"/>
      <c r="EX8" s="297"/>
      <c r="EY8" s="297"/>
      <c r="EZ8" s="297"/>
      <c r="FA8" s="297"/>
      <c r="FB8" s="297"/>
      <c r="FC8" s="297"/>
      <c r="FD8" s="297"/>
      <c r="FE8" s="297"/>
      <c r="FF8" s="297"/>
      <c r="FG8" s="297"/>
      <c r="FH8" s="297"/>
      <c r="FI8" s="297"/>
      <c r="FJ8" s="297"/>
      <c r="FK8" s="297"/>
      <c r="FL8" s="297"/>
      <c r="FM8" s="297"/>
      <c r="FN8" s="297"/>
      <c r="FO8" s="297"/>
      <c r="FP8" s="297"/>
      <c r="FQ8" s="297"/>
      <c r="FR8" s="297"/>
      <c r="FS8" s="297"/>
      <c r="FT8" s="297"/>
      <c r="FU8" s="297"/>
      <c r="FV8" s="297"/>
      <c r="FW8" s="297"/>
      <c r="FX8" s="297"/>
      <c r="FY8" s="297"/>
      <c r="FZ8" s="297"/>
      <c r="GA8" s="297"/>
      <c r="GB8" s="297"/>
      <c r="GC8" s="297"/>
      <c r="GD8" s="297"/>
      <c r="GE8" s="297"/>
      <c r="GF8" s="297"/>
      <c r="GG8" s="297"/>
      <c r="GH8" s="297"/>
      <c r="GI8" s="297"/>
      <c r="GJ8" s="297"/>
      <c r="GK8" s="297"/>
    </row>
    <row r="9" spans="1:193" ht="38.25" x14ac:dyDescent="0.2">
      <c r="A9" s="559" t="s">
        <v>592</v>
      </c>
      <c r="B9" s="560" t="s">
        <v>598</v>
      </c>
      <c r="C9" s="916">
        <v>127000</v>
      </c>
      <c r="D9" s="917"/>
      <c r="E9" s="917"/>
      <c r="F9" s="917"/>
      <c r="G9" s="917"/>
      <c r="H9" s="918">
        <f t="shared" ref="H9:H15" si="0">SUM(C9:G9)</f>
        <v>127000</v>
      </c>
      <c r="I9" s="1312">
        <f>36568546-234570+174955-341802-1000000+5000</f>
        <v>35172129</v>
      </c>
      <c r="J9" s="920">
        <v>0</v>
      </c>
      <c r="K9" s="920"/>
      <c r="L9" s="920"/>
      <c r="M9" s="920"/>
      <c r="N9" s="921">
        <f t="shared" ref="N9:N15" si="1">SUM(I9:M9)</f>
        <v>35172129</v>
      </c>
    </row>
    <row r="10" spans="1:193" x14ac:dyDescent="0.2">
      <c r="A10" s="561" t="s">
        <v>593</v>
      </c>
      <c r="B10" s="562" t="s">
        <v>599</v>
      </c>
      <c r="C10" s="922"/>
      <c r="D10" s="923"/>
      <c r="E10" s="923"/>
      <c r="F10" s="923"/>
      <c r="G10" s="923"/>
      <c r="H10" s="921">
        <f t="shared" si="0"/>
        <v>0</v>
      </c>
      <c r="I10" s="924">
        <v>500000</v>
      </c>
      <c r="J10" s="923"/>
      <c r="K10" s="923"/>
      <c r="L10" s="923"/>
      <c r="M10" s="923"/>
      <c r="N10" s="921">
        <f t="shared" si="1"/>
        <v>500000</v>
      </c>
    </row>
    <row r="11" spans="1:193" ht="25.5" x14ac:dyDescent="0.2">
      <c r="A11" s="561" t="s">
        <v>594</v>
      </c>
      <c r="B11" s="562" t="s">
        <v>600</v>
      </c>
      <c r="C11" s="922">
        <f>34334200+17591000+4500000+1215000+3810000+1622680</f>
        <v>63072880</v>
      </c>
      <c r="D11" s="923">
        <f>48000000+278341940</f>
        <v>326341940</v>
      </c>
      <c r="E11" s="923"/>
      <c r="F11" s="923"/>
      <c r="G11" s="923"/>
      <c r="H11" s="925">
        <f t="shared" si="0"/>
        <v>389414820</v>
      </c>
      <c r="I11" s="1149">
        <f>23664463+798660+180530-798660+17591000+4500000+1215000+200000+48000+3000000+810000-5388610+687504</f>
        <v>46507887</v>
      </c>
      <c r="J11" s="937">
        <f>6350000+798660+23073440+255268500-6350000</f>
        <v>279140600</v>
      </c>
      <c r="K11" s="923"/>
      <c r="L11" s="923"/>
      <c r="M11" s="923"/>
      <c r="N11" s="921">
        <f t="shared" si="1"/>
        <v>325648487</v>
      </c>
    </row>
    <row r="12" spans="1:193" ht="25.5" x14ac:dyDescent="0.2">
      <c r="A12" s="561" t="s">
        <v>595</v>
      </c>
      <c r="B12" s="562" t="s">
        <v>382</v>
      </c>
      <c r="C12" s="922">
        <v>1500000</v>
      </c>
      <c r="D12" s="923"/>
      <c r="E12" s="923"/>
      <c r="F12" s="923"/>
      <c r="G12" s="923"/>
      <c r="H12" s="925">
        <f t="shared" si="0"/>
        <v>1500000</v>
      </c>
      <c r="I12" s="1149">
        <f>11489017-390816-6306000</f>
        <v>4792201</v>
      </c>
      <c r="J12" s="923"/>
      <c r="K12" s="923"/>
      <c r="L12" s="923"/>
      <c r="M12" s="923"/>
      <c r="N12" s="921">
        <f t="shared" si="1"/>
        <v>4792201</v>
      </c>
    </row>
    <row r="13" spans="1:193" ht="25.5" x14ac:dyDescent="0.2">
      <c r="A13" s="561" t="s">
        <v>596</v>
      </c>
      <c r="B13" s="562" t="s">
        <v>601</v>
      </c>
      <c r="C13" s="1148">
        <f>2166039818-13275647+9943669+1055000+9412060+8368396-4000000+54489990-216654843+1421358</f>
        <v>2016799801</v>
      </c>
      <c r="D13" s="923">
        <f>28773000-20388540</f>
        <v>8384460</v>
      </c>
      <c r="E13" s="923"/>
      <c r="F13" s="926"/>
      <c r="G13" s="926"/>
      <c r="H13" s="925">
        <f t="shared" si="0"/>
        <v>2025184261</v>
      </c>
      <c r="I13" s="1149">
        <f>55076107+802163+11876+3551181+56496+9132+4738+771870+66518+807034</f>
        <v>61157115</v>
      </c>
      <c r="J13" s="923"/>
      <c r="K13" s="926"/>
      <c r="L13" s="926"/>
      <c r="M13" s="926"/>
      <c r="N13" s="921">
        <f t="shared" si="1"/>
        <v>61157115</v>
      </c>
    </row>
    <row r="14" spans="1:193" x14ac:dyDescent="0.2">
      <c r="A14" s="561" t="s">
        <v>848</v>
      </c>
      <c r="B14" s="562" t="s">
        <v>849</v>
      </c>
      <c r="C14" s="922"/>
      <c r="D14" s="927"/>
      <c r="E14" s="923"/>
      <c r="F14" s="923"/>
      <c r="G14" s="923"/>
      <c r="H14" s="925">
        <f>SUM(C14:G14)</f>
        <v>0</v>
      </c>
      <c r="I14" s="928">
        <v>5091319</v>
      </c>
      <c r="J14" s="929"/>
      <c r="K14" s="929"/>
      <c r="L14" s="929"/>
      <c r="M14" s="929"/>
      <c r="N14" s="921">
        <f>SUM(I14:M14)</f>
        <v>5091319</v>
      </c>
    </row>
    <row r="15" spans="1:193" ht="13.5" thickBot="1" x14ac:dyDescent="0.25">
      <c r="A15" s="873" t="s">
        <v>597</v>
      </c>
      <c r="B15" s="874" t="s">
        <v>381</v>
      </c>
      <c r="C15" s="930"/>
      <c r="D15" s="931"/>
      <c r="E15" s="931"/>
      <c r="F15" s="931"/>
      <c r="G15" s="931">
        <v>2381931880</v>
      </c>
      <c r="H15" s="932">
        <f t="shared" si="0"/>
        <v>2381931880</v>
      </c>
      <c r="I15" s="928">
        <v>636000</v>
      </c>
      <c r="J15" s="929"/>
      <c r="K15" s="933">
        <v>1886279165</v>
      </c>
      <c r="L15" s="929"/>
      <c r="M15" s="929"/>
      <c r="N15" s="921">
        <f t="shared" si="1"/>
        <v>1886915165</v>
      </c>
    </row>
    <row r="16" spans="1:193" ht="14.25" thickBot="1" x14ac:dyDescent="0.3">
      <c r="A16" s="1461" t="s">
        <v>636</v>
      </c>
      <c r="B16" s="1462" t="s">
        <v>636</v>
      </c>
      <c r="C16" s="1458" t="s">
        <v>636</v>
      </c>
      <c r="D16" s="1458" t="s">
        <v>636</v>
      </c>
      <c r="E16" s="1458" t="s">
        <v>636</v>
      </c>
      <c r="F16" s="1458" t="s">
        <v>636</v>
      </c>
      <c r="G16" s="1458" t="s">
        <v>636</v>
      </c>
      <c r="H16" s="1458" t="s">
        <v>636</v>
      </c>
      <c r="I16" s="1458" t="s">
        <v>636</v>
      </c>
      <c r="J16" s="1458" t="s">
        <v>636</v>
      </c>
      <c r="K16" s="1458" t="s">
        <v>636</v>
      </c>
      <c r="L16" s="1458" t="s">
        <v>636</v>
      </c>
      <c r="M16" s="1458" t="s">
        <v>636</v>
      </c>
      <c r="N16" s="1463" t="s">
        <v>636</v>
      </c>
    </row>
    <row r="17" spans="1:14" x14ac:dyDescent="0.2">
      <c r="A17" s="553" t="s">
        <v>637</v>
      </c>
      <c r="B17" s="554" t="s">
        <v>638</v>
      </c>
      <c r="C17" s="916"/>
      <c r="D17" s="917"/>
      <c r="E17" s="917"/>
      <c r="F17" s="917"/>
      <c r="G17" s="917"/>
      <c r="H17" s="918">
        <f t="shared" ref="H17:H23" si="2">SUM(C17:G17)</f>
        <v>0</v>
      </c>
      <c r="I17" s="934">
        <v>37000000</v>
      </c>
      <c r="J17" s="917">
        <f>5000000-3937008-1062992</f>
        <v>0</v>
      </c>
      <c r="K17" s="917"/>
      <c r="L17" s="917"/>
      <c r="M17" s="917"/>
      <c r="N17" s="918">
        <f t="shared" ref="N17:N23" si="3">SUM(I17:M17)</f>
        <v>37000000</v>
      </c>
    </row>
    <row r="18" spans="1:14" ht="25.5" x14ac:dyDescent="0.2">
      <c r="A18" s="555" t="s">
        <v>639</v>
      </c>
      <c r="B18" s="556" t="s">
        <v>640</v>
      </c>
      <c r="C18" s="922"/>
      <c r="D18" s="923"/>
      <c r="E18" s="923"/>
      <c r="F18" s="923"/>
      <c r="G18" s="923"/>
      <c r="H18" s="925">
        <f t="shared" si="2"/>
        <v>0</v>
      </c>
      <c r="I18" s="924">
        <v>47000</v>
      </c>
      <c r="J18" s="923"/>
      <c r="K18" s="923"/>
      <c r="L18" s="923"/>
      <c r="M18" s="923"/>
      <c r="N18" s="925">
        <f t="shared" si="3"/>
        <v>47000</v>
      </c>
    </row>
    <row r="19" spans="1:14" x14ac:dyDescent="0.2">
      <c r="A19" s="555" t="s">
        <v>890</v>
      </c>
      <c r="B19" s="556" t="s">
        <v>891</v>
      </c>
      <c r="C19" s="922"/>
      <c r="D19" s="923"/>
      <c r="E19" s="923"/>
      <c r="F19" s="923"/>
      <c r="G19" s="923"/>
      <c r="H19" s="925">
        <f t="shared" si="2"/>
        <v>0</v>
      </c>
      <c r="I19" s="924">
        <f>10311024-553313+28000+500000+100000+10800+5744658+68000</f>
        <v>16209169</v>
      </c>
      <c r="J19" s="923">
        <f>38642289+2100000+567000+23505916+393701+843239</f>
        <v>66052145</v>
      </c>
      <c r="K19" s="923"/>
      <c r="L19" s="923"/>
      <c r="M19" s="923"/>
      <c r="N19" s="925">
        <f>SUM(I19:M19)</f>
        <v>82261314</v>
      </c>
    </row>
    <row r="20" spans="1:14" x14ac:dyDescent="0.2">
      <c r="A20" s="555" t="s">
        <v>641</v>
      </c>
      <c r="B20" s="556" t="s">
        <v>642</v>
      </c>
      <c r="C20" s="922"/>
      <c r="D20" s="923"/>
      <c r="E20" s="923"/>
      <c r="F20" s="923"/>
      <c r="G20" s="923"/>
      <c r="H20" s="925">
        <f t="shared" si="2"/>
        <v>0</v>
      </c>
      <c r="I20" s="924">
        <f>4109761</f>
        <v>4109761</v>
      </c>
      <c r="J20" s="923">
        <f>250000+15221336+1031+279</f>
        <v>15472646</v>
      </c>
      <c r="K20" s="923"/>
      <c r="L20" s="923"/>
      <c r="M20" s="923"/>
      <c r="N20" s="925">
        <f t="shared" si="3"/>
        <v>19582407</v>
      </c>
    </row>
    <row r="21" spans="1:14" ht="25.5" x14ac:dyDescent="0.2">
      <c r="A21" s="555" t="s">
        <v>643</v>
      </c>
      <c r="B21" s="556" t="s">
        <v>644</v>
      </c>
      <c r="C21" s="1148">
        <f>8283554+435987</f>
        <v>8719541</v>
      </c>
      <c r="D21" s="937">
        <f>228389521+12020788</f>
        <v>240410309</v>
      </c>
      <c r="E21" s="923"/>
      <c r="F21" s="923"/>
      <c r="G21" s="923"/>
      <c r="H21" s="925">
        <f t="shared" si="2"/>
        <v>249129850</v>
      </c>
      <c r="I21" s="924">
        <f>31320966+6985000+4112370+160000+2861830-40000</f>
        <v>45400166</v>
      </c>
      <c r="J21" s="923">
        <f>985260286+5908-15221336-4109761-6985000-2122047-572953-32170436-8686017</f>
        <v>915398644</v>
      </c>
      <c r="K21" s="923"/>
      <c r="L21" s="923"/>
      <c r="M21" s="923"/>
      <c r="N21" s="925">
        <f t="shared" si="3"/>
        <v>960798810</v>
      </c>
    </row>
    <row r="22" spans="1:14" ht="25.5" x14ac:dyDescent="0.2">
      <c r="A22" s="555" t="s">
        <v>724</v>
      </c>
      <c r="B22" s="556" t="s">
        <v>725</v>
      </c>
      <c r="C22" s="935"/>
      <c r="D22" s="923"/>
      <c r="E22" s="936"/>
      <c r="F22" s="936"/>
      <c r="G22" s="937"/>
      <c r="H22" s="925">
        <f>SUM(C22:G22)</f>
        <v>0</v>
      </c>
      <c r="I22" s="924">
        <v>274320</v>
      </c>
      <c r="J22" s="923"/>
      <c r="K22" s="937"/>
      <c r="L22" s="937"/>
      <c r="M22" s="937"/>
      <c r="N22" s="925">
        <f t="shared" si="3"/>
        <v>274320</v>
      </c>
    </row>
    <row r="23" spans="1:14" ht="25.5" x14ac:dyDescent="0.2">
      <c r="A23" s="555" t="s">
        <v>645</v>
      </c>
      <c r="B23" s="556" t="s">
        <v>646</v>
      </c>
      <c r="C23" s="922">
        <v>19458900</v>
      </c>
      <c r="D23" s="923">
        <v>0</v>
      </c>
      <c r="E23" s="923"/>
      <c r="F23" s="923"/>
      <c r="G23" s="923"/>
      <c r="H23" s="925">
        <f t="shared" si="2"/>
        <v>19458900</v>
      </c>
      <c r="I23" s="924">
        <f>28150100+80000+948400+21600-1050000</f>
        <v>28150100</v>
      </c>
      <c r="J23" s="923">
        <v>8950365</v>
      </c>
      <c r="K23" s="923"/>
      <c r="L23" s="923"/>
      <c r="M23" s="923"/>
      <c r="N23" s="925">
        <f t="shared" si="3"/>
        <v>37100465</v>
      </c>
    </row>
    <row r="24" spans="1:14" ht="25.5" x14ac:dyDescent="0.2">
      <c r="A24" s="555" t="s">
        <v>647</v>
      </c>
      <c r="B24" s="556" t="s">
        <v>648</v>
      </c>
      <c r="C24" s="935"/>
      <c r="D24" s="923"/>
      <c r="E24" s="936"/>
      <c r="F24" s="936"/>
      <c r="G24" s="937"/>
      <c r="H24" s="925">
        <f>SUM(C24:G24)</f>
        <v>0</v>
      </c>
      <c r="I24" s="924">
        <f>6291127-1553189-160000-419361</f>
        <v>4158577</v>
      </c>
      <c r="J24" s="923">
        <f>190491997-543085-146633</f>
        <v>189802279</v>
      </c>
      <c r="K24" s="937"/>
      <c r="L24" s="937"/>
      <c r="M24" s="937"/>
      <c r="N24" s="925">
        <f>SUM(I24:M24)</f>
        <v>193960856</v>
      </c>
    </row>
    <row r="25" spans="1:14" ht="26.25" thickBot="1" x14ac:dyDescent="0.25">
      <c r="A25" s="557" t="s">
        <v>935</v>
      </c>
      <c r="B25" s="558" t="s">
        <v>936</v>
      </c>
      <c r="C25" s="938"/>
      <c r="D25" s="939"/>
      <c r="E25" s="939"/>
      <c r="F25" s="939"/>
      <c r="G25" s="939"/>
      <c r="H25" s="940">
        <f>SUM(C25:G25)</f>
        <v>0</v>
      </c>
      <c r="I25" s="941">
        <v>19166098</v>
      </c>
      <c r="J25" s="939">
        <v>534833902</v>
      </c>
      <c r="K25" s="939"/>
      <c r="L25" s="939"/>
      <c r="M25" s="939"/>
      <c r="N25" s="940">
        <f>SUM(I25:M25)</f>
        <v>554000000</v>
      </c>
    </row>
    <row r="26" spans="1:14" ht="14.25" thickBot="1" x14ac:dyDescent="0.3">
      <c r="A26" s="1461" t="s">
        <v>602</v>
      </c>
      <c r="B26" s="1462"/>
      <c r="C26" s="1462"/>
      <c r="D26" s="1462"/>
      <c r="E26" s="1462"/>
      <c r="F26" s="1462"/>
      <c r="G26" s="1462"/>
      <c r="H26" s="1462"/>
      <c r="I26" s="1462"/>
      <c r="J26" s="1462"/>
      <c r="K26" s="1462"/>
      <c r="L26" s="1462"/>
      <c r="M26" s="1462"/>
      <c r="N26" s="1464"/>
    </row>
    <row r="27" spans="1:14" ht="25.5" x14ac:dyDescent="0.2">
      <c r="A27" s="652" t="s">
        <v>603</v>
      </c>
      <c r="B27" s="653" t="s">
        <v>604</v>
      </c>
      <c r="C27" s="917">
        <v>507601</v>
      </c>
      <c r="D27" s="942"/>
      <c r="E27" s="942"/>
      <c r="F27" s="942"/>
      <c r="G27" s="942"/>
      <c r="H27" s="918">
        <f>SUM(C27:G27)</f>
        <v>507601</v>
      </c>
      <c r="I27" s="934">
        <v>16190698</v>
      </c>
      <c r="J27" s="942"/>
      <c r="K27" s="942"/>
      <c r="L27" s="942"/>
      <c r="M27" s="942"/>
      <c r="N27" s="918">
        <f>SUM(I27:M27)</f>
        <v>16190698</v>
      </c>
    </row>
    <row r="28" spans="1:14" ht="25.5" x14ac:dyDescent="0.2">
      <c r="A28" s="654" t="s">
        <v>605</v>
      </c>
      <c r="B28" s="651" t="s">
        <v>384</v>
      </c>
      <c r="C28" s="923"/>
      <c r="D28" s="923"/>
      <c r="E28" s="923"/>
      <c r="F28" s="923"/>
      <c r="G28" s="923"/>
      <c r="H28" s="925">
        <f>SUM(C28:G28)</f>
        <v>0</v>
      </c>
      <c r="I28" s="924">
        <v>835000</v>
      </c>
      <c r="J28" s="926"/>
      <c r="K28" s="926"/>
      <c r="L28" s="926"/>
      <c r="M28" s="926"/>
      <c r="N28" s="925">
        <f>SUM(I28:M28)</f>
        <v>835000</v>
      </c>
    </row>
    <row r="29" spans="1:14" x14ac:dyDescent="0.2">
      <c r="A29" s="654" t="s">
        <v>1056</v>
      </c>
      <c r="B29" s="651" t="s">
        <v>1057</v>
      </c>
      <c r="C29" s="923"/>
      <c r="D29" s="926"/>
      <c r="E29" s="937"/>
      <c r="F29" s="926"/>
      <c r="G29" s="926"/>
      <c r="H29" s="925">
        <f>SUM(C29:G29)</f>
        <v>0</v>
      </c>
      <c r="I29" s="1149">
        <f>650800-500000+1421358</f>
        <v>1572158</v>
      </c>
      <c r="J29" s="923"/>
      <c r="K29" s="926"/>
      <c r="L29" s="926"/>
      <c r="M29" s="926"/>
      <c r="N29" s="925">
        <f>SUM(I29:M29)</f>
        <v>1572158</v>
      </c>
    </row>
    <row r="30" spans="1:14" ht="25.5" x14ac:dyDescent="0.2">
      <c r="A30" s="654" t="s">
        <v>606</v>
      </c>
      <c r="B30" s="651" t="s">
        <v>607</v>
      </c>
      <c r="C30" s="923">
        <v>1000000</v>
      </c>
      <c r="D30" s="926"/>
      <c r="E30" s="937"/>
      <c r="F30" s="926"/>
      <c r="G30" s="926"/>
      <c r="H30" s="925">
        <f>SUM(C30:G30)</f>
        <v>1000000</v>
      </c>
      <c r="I30" s="943"/>
      <c r="J30" s="923"/>
      <c r="K30" s="926"/>
      <c r="L30" s="926"/>
      <c r="M30" s="926"/>
      <c r="N30" s="925">
        <f>SUM(I30:M30)</f>
        <v>0</v>
      </c>
    </row>
    <row r="31" spans="1:14" ht="26.25" thickBot="1" x14ac:dyDescent="0.25">
      <c r="A31" s="655" t="s">
        <v>709</v>
      </c>
      <c r="B31" s="656" t="s">
        <v>708</v>
      </c>
      <c r="C31" s="939"/>
      <c r="D31" s="944"/>
      <c r="E31" s="945"/>
      <c r="F31" s="944"/>
      <c r="G31" s="944"/>
      <c r="H31" s="940">
        <f>SUM(C31:G31)</f>
        <v>0</v>
      </c>
      <c r="I31" s="941"/>
      <c r="J31" s="939"/>
      <c r="K31" s="944"/>
      <c r="L31" s="944"/>
      <c r="M31" s="944"/>
      <c r="N31" s="940">
        <f>SUM(I31:M31)</f>
        <v>0</v>
      </c>
    </row>
    <row r="32" spans="1:14" ht="14.25" thickBot="1" x14ac:dyDescent="0.3">
      <c r="A32" s="1465" t="s">
        <v>613</v>
      </c>
      <c r="B32" s="1466"/>
      <c r="C32" s="1467"/>
      <c r="D32" s="1467"/>
      <c r="E32" s="1467"/>
      <c r="F32" s="1467"/>
      <c r="G32" s="1467"/>
      <c r="H32" s="1467"/>
      <c r="I32" s="1467"/>
      <c r="J32" s="1467"/>
      <c r="K32" s="1467"/>
      <c r="L32" s="1467"/>
      <c r="M32" s="1467"/>
      <c r="N32" s="1468"/>
    </row>
    <row r="33" spans="1:14" ht="25.5" x14ac:dyDescent="0.2">
      <c r="A33" s="652" t="s">
        <v>710</v>
      </c>
      <c r="B33" s="657" t="s">
        <v>711</v>
      </c>
      <c r="C33" s="934">
        <f>17143608+17333392</f>
        <v>34477000</v>
      </c>
      <c r="D33" s="917">
        <f>12853698+396572740+76736922</f>
        <v>486163360</v>
      </c>
      <c r="E33" s="916"/>
      <c r="F33" s="917"/>
      <c r="G33" s="917"/>
      <c r="H33" s="918">
        <f>SUM(C33:G33)</f>
        <v>520640360</v>
      </c>
      <c r="I33" s="934">
        <f>86158879+64000+26854+23973+23752+161965+610800+50000+17333392+81310+300000+500000+40000+10800+120000+200000</f>
        <v>105705725</v>
      </c>
      <c r="J33" s="917">
        <f>384419465-23973-6472+46228000+350344740+60422773+16314149</f>
        <v>857698682</v>
      </c>
      <c r="K33" s="917"/>
      <c r="L33" s="917"/>
      <c r="M33" s="917"/>
      <c r="N33" s="918">
        <f>SUM(I33:M33)</f>
        <v>963404407</v>
      </c>
    </row>
    <row r="34" spans="1:14" x14ac:dyDescent="0.2">
      <c r="A34" s="654" t="s">
        <v>608</v>
      </c>
      <c r="B34" s="658" t="s">
        <v>377</v>
      </c>
      <c r="C34" s="919"/>
      <c r="D34" s="920"/>
      <c r="E34" s="946"/>
      <c r="F34" s="920"/>
      <c r="G34" s="920"/>
      <c r="H34" s="921">
        <f>SUM(C34:G34)</f>
        <v>0</v>
      </c>
      <c r="I34" s="1312">
        <f>45114638-8879840+5831000</f>
        <v>42065798</v>
      </c>
      <c r="J34" s="920">
        <f>165127000-20000000</f>
        <v>145127000</v>
      </c>
      <c r="K34" s="920"/>
      <c r="L34" s="920"/>
      <c r="M34" s="920"/>
      <c r="N34" s="921">
        <f>SUM(I34:M34)</f>
        <v>187192798</v>
      </c>
    </row>
    <row r="35" spans="1:14" x14ac:dyDescent="0.2">
      <c r="A35" s="654" t="s">
        <v>609</v>
      </c>
      <c r="B35" s="658" t="s">
        <v>610</v>
      </c>
      <c r="C35" s="947"/>
      <c r="D35" s="923"/>
      <c r="E35" s="923"/>
      <c r="F35" s="923"/>
      <c r="G35" s="923"/>
      <c r="H35" s="925">
        <f>SUM(C35:G35)</f>
        <v>0</v>
      </c>
      <c r="I35" s="924">
        <v>19634950</v>
      </c>
      <c r="J35" s="923">
        <v>0</v>
      </c>
      <c r="K35" s="923"/>
      <c r="L35" s="923"/>
      <c r="M35" s="923"/>
      <c r="N35" s="921">
        <f>SUM(I35:M35)</f>
        <v>19634950</v>
      </c>
    </row>
    <row r="36" spans="1:14" ht="26.25" thickBot="1" x14ac:dyDescent="0.25">
      <c r="A36" s="655" t="s">
        <v>611</v>
      </c>
      <c r="B36" s="659" t="s">
        <v>612</v>
      </c>
      <c r="C36" s="941">
        <f>5890000+1800000+1200000+958699</f>
        <v>9848699</v>
      </c>
      <c r="D36" s="939"/>
      <c r="E36" s="939">
        <v>8000000</v>
      </c>
      <c r="F36" s="939"/>
      <c r="G36" s="939"/>
      <c r="H36" s="940">
        <f>SUM(C36:G36)</f>
        <v>17848699</v>
      </c>
      <c r="I36" s="1313">
        <f>59730440+2425+2106000+1404000-44000+44000+958699+124631+42000-10865000+1294000+500000</f>
        <v>55297195</v>
      </c>
      <c r="J36" s="945">
        <f>5844800-2450000-1116000</f>
        <v>2278800</v>
      </c>
      <c r="K36" s="939"/>
      <c r="L36" s="939"/>
      <c r="M36" s="939"/>
      <c r="N36" s="932">
        <f>SUM(I36:M36)</f>
        <v>57575995</v>
      </c>
    </row>
    <row r="37" spans="1:14" ht="15.75" thickBot="1" x14ac:dyDescent="0.3">
      <c r="A37" s="1469" t="s">
        <v>614</v>
      </c>
      <c r="B37" s="1470"/>
      <c r="C37" s="1470"/>
      <c r="D37" s="1470"/>
      <c r="E37" s="1470"/>
      <c r="F37" s="1470"/>
      <c r="G37" s="1470"/>
      <c r="H37" s="1470"/>
      <c r="I37" s="1470"/>
      <c r="J37" s="1470"/>
      <c r="K37" s="1470"/>
      <c r="L37" s="1470"/>
      <c r="M37" s="1470"/>
      <c r="N37" s="1471"/>
    </row>
    <row r="38" spans="1:14" x14ac:dyDescent="0.2">
      <c r="A38" s="563" t="s">
        <v>740</v>
      </c>
      <c r="B38" s="560" t="s">
        <v>741</v>
      </c>
      <c r="C38" s="948">
        <f>34290896+9317500+905600</f>
        <v>44513996</v>
      </c>
      <c r="D38" s="948"/>
      <c r="E38" s="948"/>
      <c r="F38" s="948"/>
      <c r="G38" s="948"/>
      <c r="H38" s="918">
        <f t="shared" ref="H38:H45" si="4">SUM(C38:G38)</f>
        <v>44513996</v>
      </c>
      <c r="I38" s="1273">
        <f>87552185+158824+9317500+44090-44089-5965000</f>
        <v>91063510</v>
      </c>
      <c r="J38" s="917">
        <f>157075866-588237-158824+588237-207385+163295+70956-70956+357831+96615-422908+461103</f>
        <v>157365593</v>
      </c>
      <c r="K38" s="949"/>
      <c r="L38" s="949"/>
      <c r="M38" s="949"/>
      <c r="N38" s="918">
        <f t="shared" ref="N38:N45" si="5">SUM(I38:M38)</f>
        <v>248429103</v>
      </c>
    </row>
    <row r="39" spans="1:14" x14ac:dyDescent="0.2">
      <c r="A39" s="740" t="s">
        <v>726</v>
      </c>
      <c r="B39" s="741" t="s">
        <v>727</v>
      </c>
      <c r="C39" s="946">
        <v>2313672</v>
      </c>
      <c r="D39" s="950"/>
      <c r="E39" s="950"/>
      <c r="F39" s="950"/>
      <c r="G39" s="950"/>
      <c r="H39" s="921">
        <f t="shared" si="4"/>
        <v>2313672</v>
      </c>
      <c r="I39" s="951">
        <v>32365956</v>
      </c>
      <c r="J39" s="920"/>
      <c r="K39" s="952"/>
      <c r="L39" s="952"/>
      <c r="M39" s="952"/>
      <c r="N39" s="921">
        <f t="shared" si="5"/>
        <v>32365956</v>
      </c>
    </row>
    <row r="40" spans="1:14" x14ac:dyDescent="0.2">
      <c r="A40" s="664" t="s">
        <v>615</v>
      </c>
      <c r="B40" s="562" t="s">
        <v>1</v>
      </c>
      <c r="C40" s="922"/>
      <c r="D40" s="922"/>
      <c r="E40" s="922"/>
      <c r="F40" s="922"/>
      <c r="G40" s="922"/>
      <c r="H40" s="925">
        <f t="shared" si="4"/>
        <v>0</v>
      </c>
      <c r="I40" s="953">
        <v>47104800</v>
      </c>
      <c r="J40" s="923">
        <f>49000000+3906130+1062215</f>
        <v>53968345</v>
      </c>
      <c r="K40" s="923"/>
      <c r="L40" s="923"/>
      <c r="M40" s="923"/>
      <c r="N40" s="921">
        <f t="shared" si="5"/>
        <v>101073145</v>
      </c>
    </row>
    <row r="41" spans="1:14" x14ac:dyDescent="0.2">
      <c r="A41" s="664" t="s">
        <v>1034</v>
      </c>
      <c r="B41" s="562" t="s">
        <v>1035</v>
      </c>
      <c r="C41" s="1148"/>
      <c r="D41" s="1148"/>
      <c r="E41" s="922"/>
      <c r="F41" s="1148"/>
      <c r="G41" s="1148"/>
      <c r="H41" s="1013">
        <f t="shared" si="4"/>
        <v>0</v>
      </c>
      <c r="I41" s="953">
        <v>519225</v>
      </c>
      <c r="J41" s="937"/>
      <c r="K41" s="937"/>
      <c r="L41" s="937"/>
      <c r="M41" s="937"/>
      <c r="N41" s="921">
        <f t="shared" si="5"/>
        <v>519225</v>
      </c>
    </row>
    <row r="42" spans="1:14" x14ac:dyDescent="0.2">
      <c r="A42" s="664" t="s">
        <v>616</v>
      </c>
      <c r="B42" s="562" t="s">
        <v>3</v>
      </c>
      <c r="C42" s="922"/>
      <c r="D42" s="923"/>
      <c r="E42" s="923"/>
      <c r="F42" s="923"/>
      <c r="G42" s="923"/>
      <c r="H42" s="925">
        <f t="shared" si="4"/>
        <v>0</v>
      </c>
      <c r="I42" s="924">
        <v>7910800</v>
      </c>
      <c r="J42" s="923"/>
      <c r="K42" s="923"/>
      <c r="L42" s="923"/>
      <c r="M42" s="923"/>
      <c r="N42" s="921">
        <f t="shared" si="5"/>
        <v>7910800</v>
      </c>
    </row>
    <row r="43" spans="1:14" x14ac:dyDescent="0.2">
      <c r="A43" s="664" t="s">
        <v>713</v>
      </c>
      <c r="B43" s="562" t="s">
        <v>712</v>
      </c>
      <c r="C43" s="922"/>
      <c r="D43" s="923"/>
      <c r="E43" s="923"/>
      <c r="F43" s="923"/>
      <c r="G43" s="923"/>
      <c r="H43" s="925">
        <f t="shared" si="4"/>
        <v>0</v>
      </c>
      <c r="I43" s="924">
        <v>14000000</v>
      </c>
      <c r="J43" s="923"/>
      <c r="K43" s="923"/>
      <c r="L43" s="923"/>
      <c r="M43" s="923"/>
      <c r="N43" s="921">
        <f t="shared" si="5"/>
        <v>14000000</v>
      </c>
    </row>
    <row r="44" spans="1:14" x14ac:dyDescent="0.2">
      <c r="A44" s="664" t="s">
        <v>728</v>
      </c>
      <c r="B44" s="562" t="s">
        <v>729</v>
      </c>
      <c r="C44" s="922"/>
      <c r="D44" s="937"/>
      <c r="E44" s="937"/>
      <c r="F44" s="937"/>
      <c r="G44" s="937"/>
      <c r="H44" s="925">
        <f t="shared" si="4"/>
        <v>0</v>
      </c>
      <c r="I44" s="924">
        <f>7239000</f>
        <v>7239000</v>
      </c>
      <c r="J44" s="923">
        <v>127000</v>
      </c>
      <c r="K44" s="937"/>
      <c r="L44" s="937"/>
      <c r="M44" s="937"/>
      <c r="N44" s="921">
        <f t="shared" si="5"/>
        <v>7366000</v>
      </c>
    </row>
    <row r="45" spans="1:14" ht="26.25" thickBot="1" x14ac:dyDescent="0.25">
      <c r="A45" s="665" t="s">
        <v>617</v>
      </c>
      <c r="B45" s="663" t="s">
        <v>618</v>
      </c>
      <c r="C45" s="938"/>
      <c r="D45" s="939"/>
      <c r="E45" s="939"/>
      <c r="F45" s="939"/>
      <c r="G45" s="939"/>
      <c r="H45" s="940">
        <f t="shared" si="4"/>
        <v>0</v>
      </c>
      <c r="I45" s="941">
        <v>300000</v>
      </c>
      <c r="J45" s="939">
        <v>0</v>
      </c>
      <c r="K45" s="939"/>
      <c r="L45" s="939"/>
      <c r="M45" s="939"/>
      <c r="N45" s="932">
        <f t="shared" si="5"/>
        <v>300000</v>
      </c>
    </row>
    <row r="46" spans="1:14" ht="14.25" thickBot="1" x14ac:dyDescent="0.3">
      <c r="A46" s="1461" t="s">
        <v>619</v>
      </c>
      <c r="B46" s="1462"/>
      <c r="C46" s="1459"/>
      <c r="D46" s="1459"/>
      <c r="E46" s="1459"/>
      <c r="F46" s="1459"/>
      <c r="G46" s="1459"/>
      <c r="H46" s="1459"/>
      <c r="I46" s="1459"/>
      <c r="J46" s="1459"/>
      <c r="K46" s="1459"/>
      <c r="L46" s="1459"/>
      <c r="M46" s="1459"/>
      <c r="N46" s="1460"/>
    </row>
    <row r="47" spans="1:14" ht="25.5" x14ac:dyDescent="0.2">
      <c r="A47" s="888" t="s">
        <v>742</v>
      </c>
      <c r="B47" s="889" t="s">
        <v>743</v>
      </c>
      <c r="C47" s="954"/>
      <c r="D47" s="955"/>
      <c r="E47" s="955"/>
      <c r="F47" s="955"/>
      <c r="G47" s="955"/>
      <c r="H47" s="956">
        <f t="shared" ref="H47:H52" si="6">SUM(C47:G47)</f>
        <v>0</v>
      </c>
      <c r="I47" s="1153">
        <f>24613222+3877953+1047047</f>
        <v>29538222</v>
      </c>
      <c r="J47" s="955">
        <f>49789531-6674159-1802022-20356226-6062395</f>
        <v>14894729</v>
      </c>
      <c r="K47" s="955"/>
      <c r="L47" s="955"/>
      <c r="M47" s="955"/>
      <c r="N47" s="956">
        <f t="shared" ref="N47:N52" si="7">SUM(I47:M47)</f>
        <v>44432951</v>
      </c>
    </row>
    <row r="48" spans="1:14" x14ac:dyDescent="0.2">
      <c r="A48" s="664" t="s">
        <v>888</v>
      </c>
      <c r="B48" s="562" t="s">
        <v>889</v>
      </c>
      <c r="C48" s="922">
        <v>5000000</v>
      </c>
      <c r="D48" s="937"/>
      <c r="E48" s="937"/>
      <c r="F48" s="937"/>
      <c r="G48" s="937"/>
      <c r="H48" s="1013">
        <f t="shared" si="6"/>
        <v>5000000</v>
      </c>
      <c r="I48" s="924">
        <f>5770566+5000000</f>
        <v>10770566</v>
      </c>
      <c r="J48" s="923"/>
      <c r="K48" s="923"/>
      <c r="L48" s="923"/>
      <c r="M48" s="923"/>
      <c r="N48" s="925">
        <f t="shared" si="7"/>
        <v>10770566</v>
      </c>
    </row>
    <row r="49" spans="1:14" ht="25.5" x14ac:dyDescent="0.2">
      <c r="A49" s="664" t="s">
        <v>862</v>
      </c>
      <c r="B49" s="562" t="s">
        <v>863</v>
      </c>
      <c r="C49" s="922">
        <f>4000000</f>
        <v>4000000</v>
      </c>
      <c r="D49" s="923"/>
      <c r="E49" s="923"/>
      <c r="F49" s="923"/>
      <c r="G49" s="923"/>
      <c r="H49" s="925">
        <f t="shared" si="6"/>
        <v>4000000</v>
      </c>
      <c r="I49" s="924">
        <v>2263891</v>
      </c>
      <c r="J49" s="923"/>
      <c r="K49" s="923"/>
      <c r="L49" s="923"/>
      <c r="M49" s="923"/>
      <c r="N49" s="925">
        <f t="shared" si="7"/>
        <v>2263891</v>
      </c>
    </row>
    <row r="50" spans="1:14" x14ac:dyDescent="0.2">
      <c r="A50" s="740" t="s">
        <v>620</v>
      </c>
      <c r="B50" s="741" t="s">
        <v>560</v>
      </c>
      <c r="C50" s="957">
        <v>762000</v>
      </c>
      <c r="D50" s="958"/>
      <c r="E50" s="958"/>
      <c r="F50" s="958"/>
      <c r="G50" s="958"/>
      <c r="H50" s="921">
        <f t="shared" si="6"/>
        <v>762000</v>
      </c>
      <c r="I50" s="959">
        <v>6627276</v>
      </c>
      <c r="J50" s="958"/>
      <c r="K50" s="958"/>
      <c r="L50" s="958"/>
      <c r="M50" s="958"/>
      <c r="N50" s="921">
        <f t="shared" si="7"/>
        <v>6627276</v>
      </c>
    </row>
    <row r="51" spans="1:14" s="390" customFormat="1" x14ac:dyDescent="0.2">
      <c r="A51" s="664" t="s">
        <v>621</v>
      </c>
      <c r="B51" s="562" t="s">
        <v>378</v>
      </c>
      <c r="C51" s="960">
        <v>0</v>
      </c>
      <c r="D51" s="961"/>
      <c r="E51" s="961"/>
      <c r="F51" s="961"/>
      <c r="G51" s="961"/>
      <c r="H51" s="925">
        <f t="shared" si="6"/>
        <v>0</v>
      </c>
      <c r="I51" s="928">
        <f>22342229+234570-150000+341802+1330000-107232</f>
        <v>23991369</v>
      </c>
      <c r="J51" s="929">
        <f>1423277+150000+190000+577815+107232</f>
        <v>2448324</v>
      </c>
      <c r="K51" s="929"/>
      <c r="L51" s="929"/>
      <c r="M51" s="929"/>
      <c r="N51" s="921">
        <f t="shared" si="7"/>
        <v>26439693</v>
      </c>
    </row>
    <row r="52" spans="1:14" s="390" customFormat="1" ht="39" thickBot="1" x14ac:dyDescent="0.25">
      <c r="A52" s="665" t="s">
        <v>622</v>
      </c>
      <c r="B52" s="663" t="s">
        <v>623</v>
      </c>
      <c r="C52" s="960">
        <v>30768216</v>
      </c>
      <c r="D52" s="929">
        <v>806423</v>
      </c>
      <c r="E52" s="961"/>
      <c r="F52" s="961"/>
      <c r="G52" s="961"/>
      <c r="H52" s="962">
        <f t="shared" si="6"/>
        <v>31574639</v>
      </c>
      <c r="I52" s="928">
        <f>32569630+20797-20797-4071620</f>
        <v>28498010</v>
      </c>
      <c r="J52" s="929">
        <f>1050+4071620</f>
        <v>4072670</v>
      </c>
      <c r="K52" s="929"/>
      <c r="L52" s="929"/>
      <c r="M52" s="929"/>
      <c r="N52" s="921">
        <f t="shared" si="7"/>
        <v>32570680</v>
      </c>
    </row>
    <row r="53" spans="1:14" s="390" customFormat="1" ht="14.25" thickBot="1" x14ac:dyDescent="0.3">
      <c r="A53" s="1457" t="s">
        <v>734</v>
      </c>
      <c r="B53" s="1458"/>
      <c r="C53" s="1459"/>
      <c r="D53" s="1459"/>
      <c r="E53" s="1459"/>
      <c r="F53" s="1459"/>
      <c r="G53" s="1459"/>
      <c r="H53" s="1459"/>
      <c r="I53" s="1459"/>
      <c r="J53" s="1459"/>
      <c r="K53" s="1459"/>
      <c r="L53" s="1459"/>
      <c r="M53" s="1459"/>
      <c r="N53" s="1460"/>
    </row>
    <row r="54" spans="1:14" s="390" customFormat="1" x14ac:dyDescent="0.2">
      <c r="A54" s="563" t="s">
        <v>1068</v>
      </c>
      <c r="B54" s="560" t="s">
        <v>1069</v>
      </c>
      <c r="C54" s="946">
        <v>4047900</v>
      </c>
      <c r="D54" s="920">
        <v>105086150</v>
      </c>
      <c r="E54" s="952"/>
      <c r="F54" s="952"/>
      <c r="G54" s="952"/>
      <c r="H54" s="921">
        <f>SUM(C54:G54)</f>
        <v>109134050</v>
      </c>
      <c r="I54" s="919">
        <v>4047900</v>
      </c>
      <c r="J54" s="920">
        <f>6915150+98171000</f>
        <v>105086150</v>
      </c>
      <c r="K54" s="952"/>
      <c r="L54" s="952"/>
      <c r="M54" s="952"/>
      <c r="N54" s="921">
        <f>SUM(I54:M54)</f>
        <v>109134050</v>
      </c>
    </row>
    <row r="55" spans="1:14" s="390" customFormat="1" ht="13.5" thickBot="1" x14ac:dyDescent="0.25">
      <c r="A55" s="740" t="s">
        <v>735</v>
      </c>
      <c r="B55" s="741" t="s">
        <v>736</v>
      </c>
      <c r="C55" s="957"/>
      <c r="D55" s="958"/>
      <c r="E55" s="958"/>
      <c r="F55" s="958"/>
      <c r="G55" s="958"/>
      <c r="H55" s="921">
        <f>SUM(C55:G55)</f>
        <v>0</v>
      </c>
      <c r="I55" s="959">
        <f>4621230+33020</f>
        <v>4654250</v>
      </c>
      <c r="J55" s="958">
        <f>46591747+3149500+850365</f>
        <v>50591612</v>
      </c>
      <c r="K55" s="958"/>
      <c r="L55" s="958"/>
      <c r="M55" s="958"/>
      <c r="N55" s="921">
        <f>SUM(I55:M55)</f>
        <v>55245862</v>
      </c>
    </row>
    <row r="56" spans="1:14" ht="14.25" thickBot="1" x14ac:dyDescent="0.3">
      <c r="A56" s="1461" t="s">
        <v>624</v>
      </c>
      <c r="B56" s="1462"/>
      <c r="C56" s="1458"/>
      <c r="D56" s="1458"/>
      <c r="E56" s="1458"/>
      <c r="F56" s="1458"/>
      <c r="G56" s="1458"/>
      <c r="H56" s="1458"/>
      <c r="I56" s="1458"/>
      <c r="J56" s="1458"/>
      <c r="K56" s="1458"/>
      <c r="L56" s="1458"/>
      <c r="M56" s="1458"/>
      <c r="N56" s="1463"/>
    </row>
    <row r="57" spans="1:14" ht="25.5" x14ac:dyDescent="0.2">
      <c r="A57" s="892">
        <v>101211</v>
      </c>
      <c r="B57" s="889" t="s">
        <v>864</v>
      </c>
      <c r="C57" s="954"/>
      <c r="D57" s="955"/>
      <c r="E57" s="955"/>
      <c r="F57" s="955"/>
      <c r="G57" s="955"/>
      <c r="H57" s="956">
        <f t="shared" ref="H57:H62" si="8">SUM(C57:G57)</f>
        <v>0</v>
      </c>
      <c r="I57" s="917">
        <v>4226616</v>
      </c>
      <c r="J57" s="917">
        <f>101471+647175+174737</f>
        <v>923383</v>
      </c>
      <c r="K57" s="917"/>
      <c r="L57" s="917"/>
      <c r="M57" s="917"/>
      <c r="N57" s="918">
        <f t="shared" ref="N57:N65" si="9">SUM(I57:M57)</f>
        <v>5149999</v>
      </c>
    </row>
    <row r="58" spans="1:14" x14ac:dyDescent="0.2">
      <c r="A58" s="893">
        <v>102023</v>
      </c>
      <c r="B58" s="562" t="s">
        <v>865</v>
      </c>
      <c r="C58" s="922"/>
      <c r="D58" s="923"/>
      <c r="E58" s="923"/>
      <c r="F58" s="923"/>
      <c r="G58" s="923"/>
      <c r="H58" s="925">
        <f t="shared" si="8"/>
        <v>0</v>
      </c>
      <c r="I58" s="923">
        <f>6799828</f>
        <v>6799828</v>
      </c>
      <c r="J58" s="923">
        <f>163235+1041107+281099</f>
        <v>1485441</v>
      </c>
      <c r="K58" s="923"/>
      <c r="L58" s="923"/>
      <c r="M58" s="923"/>
      <c r="N58" s="925">
        <f t="shared" si="9"/>
        <v>8285269</v>
      </c>
    </row>
    <row r="59" spans="1:14" x14ac:dyDescent="0.2">
      <c r="A59" s="890">
        <v>102024</v>
      </c>
      <c r="B59" s="741" t="s">
        <v>866</v>
      </c>
      <c r="C59" s="957"/>
      <c r="D59" s="958"/>
      <c r="E59" s="958"/>
      <c r="F59" s="958"/>
      <c r="G59" s="958"/>
      <c r="H59" s="925">
        <f t="shared" si="8"/>
        <v>0</v>
      </c>
      <c r="I59" s="923">
        <v>1470944</v>
      </c>
      <c r="J59" s="923">
        <f>35294+225104+60778</f>
        <v>321176</v>
      </c>
      <c r="K59" s="923"/>
      <c r="L59" s="923"/>
      <c r="M59" s="923"/>
      <c r="N59" s="925">
        <f t="shared" si="9"/>
        <v>1792120</v>
      </c>
    </row>
    <row r="60" spans="1:14" x14ac:dyDescent="0.2">
      <c r="A60" s="893" t="s">
        <v>625</v>
      </c>
      <c r="B60" s="562" t="s">
        <v>491</v>
      </c>
      <c r="C60" s="960"/>
      <c r="D60" s="961"/>
      <c r="E60" s="961"/>
      <c r="F60" s="961"/>
      <c r="G60" s="961"/>
      <c r="H60" s="925">
        <f t="shared" si="8"/>
        <v>0</v>
      </c>
      <c r="I60" s="923">
        <v>300000</v>
      </c>
      <c r="J60" s="923"/>
      <c r="K60" s="923"/>
      <c r="L60" s="923"/>
      <c r="M60" s="923"/>
      <c r="N60" s="925">
        <f t="shared" si="9"/>
        <v>300000</v>
      </c>
    </row>
    <row r="61" spans="1:14" ht="25.5" x14ac:dyDescent="0.2">
      <c r="A61" s="893">
        <v>104031</v>
      </c>
      <c r="B61" s="562" t="s">
        <v>867</v>
      </c>
      <c r="C61" s="922">
        <v>37562787</v>
      </c>
      <c r="D61" s="923">
        <v>137436248</v>
      </c>
      <c r="E61" s="927"/>
      <c r="F61" s="927"/>
      <c r="G61" s="927"/>
      <c r="H61" s="925">
        <f t="shared" si="8"/>
        <v>174999035</v>
      </c>
      <c r="I61" s="923">
        <f>501816+37562787</f>
        <v>38064603</v>
      </c>
      <c r="J61" s="923">
        <v>137436248</v>
      </c>
      <c r="K61" s="923"/>
      <c r="L61" s="923"/>
      <c r="M61" s="923"/>
      <c r="N61" s="925">
        <f t="shared" si="9"/>
        <v>175500851</v>
      </c>
    </row>
    <row r="62" spans="1:14" x14ac:dyDescent="0.2">
      <c r="A62" s="894" t="s">
        <v>626</v>
      </c>
      <c r="B62" s="891" t="s">
        <v>476</v>
      </c>
      <c r="C62" s="957"/>
      <c r="D62" s="958"/>
      <c r="E62" s="958"/>
      <c r="F62" s="958"/>
      <c r="G62" s="958"/>
      <c r="H62" s="925">
        <f t="shared" si="8"/>
        <v>0</v>
      </c>
      <c r="I62" s="1314">
        <f>51507949-6120310</f>
        <v>45387639</v>
      </c>
      <c r="J62" s="958"/>
      <c r="K62" s="958"/>
      <c r="L62" s="958"/>
      <c r="M62" s="958"/>
      <c r="N62" s="921">
        <f t="shared" si="9"/>
        <v>45387639</v>
      </c>
    </row>
    <row r="63" spans="1:14" ht="25.5" x14ac:dyDescent="0.2">
      <c r="A63" s="893">
        <v>104060</v>
      </c>
      <c r="B63" s="562" t="s">
        <v>938</v>
      </c>
      <c r="C63" s="922">
        <v>43710000</v>
      </c>
      <c r="D63" s="923">
        <v>4290000</v>
      </c>
      <c r="E63" s="927"/>
      <c r="F63" s="927"/>
      <c r="G63" s="927"/>
      <c r="H63" s="925">
        <f>SUM(C63:G63)</f>
        <v>48000000</v>
      </c>
      <c r="I63" s="923">
        <f>1110961+154979+20824835+5622704+22379-22379+10371+457259+2-22379+22379+43710000+4-457259-2070303+802723-260842+1+52771+255250+50</f>
        <v>70213506</v>
      </c>
      <c r="J63" s="923">
        <f>8786521-10371-228983-106186-122089+4290000+457259-281214+1242159+259455</f>
        <v>14286551</v>
      </c>
      <c r="K63" s="923"/>
      <c r="L63" s="923"/>
      <c r="M63" s="923"/>
      <c r="N63" s="925">
        <f>SUM(I63:M63)</f>
        <v>84500057</v>
      </c>
    </row>
    <row r="64" spans="1:14" ht="25.5" x14ac:dyDescent="0.2">
      <c r="A64" s="664" t="s">
        <v>627</v>
      </c>
      <c r="B64" s="562" t="s">
        <v>628</v>
      </c>
      <c r="C64" s="922">
        <v>3094000</v>
      </c>
      <c r="D64" s="923"/>
      <c r="E64" s="923"/>
      <c r="F64" s="923"/>
      <c r="G64" s="923"/>
      <c r="H64" s="925">
        <f>SUM(C64:G64)</f>
        <v>3094000</v>
      </c>
      <c r="I64" s="1276">
        <f>5509100-339824</f>
        <v>5169276</v>
      </c>
      <c r="J64" s="929">
        <f>2794000+400000</f>
        <v>3194000</v>
      </c>
      <c r="K64" s="929"/>
      <c r="L64" s="929"/>
      <c r="M64" s="929"/>
      <c r="N64" s="921">
        <f t="shared" si="9"/>
        <v>8363276</v>
      </c>
    </row>
    <row r="65" spans="1:15" ht="26.25" thickBot="1" x14ac:dyDescent="0.25">
      <c r="A65" s="895" t="s">
        <v>629</v>
      </c>
      <c r="B65" s="874" t="s">
        <v>630</v>
      </c>
      <c r="C65" s="930">
        <v>500000</v>
      </c>
      <c r="D65" s="931"/>
      <c r="E65" s="931"/>
      <c r="F65" s="931"/>
      <c r="G65" s="931"/>
      <c r="H65" s="932">
        <f>SUM(C65:G65)</f>
        <v>500000</v>
      </c>
      <c r="I65" s="1313">
        <f>43800000+1250000-7000000</f>
        <v>38050000</v>
      </c>
      <c r="J65" s="939"/>
      <c r="K65" s="939"/>
      <c r="L65" s="939"/>
      <c r="M65" s="939"/>
      <c r="N65" s="932">
        <f t="shared" si="9"/>
        <v>38050000</v>
      </c>
    </row>
    <row r="66" spans="1:15" ht="14.25" thickBot="1" x14ac:dyDescent="0.3">
      <c r="A66" s="1461" t="s">
        <v>631</v>
      </c>
      <c r="B66" s="1462"/>
      <c r="C66" s="1472"/>
      <c r="D66" s="1472"/>
      <c r="E66" s="1472"/>
      <c r="F66" s="1472"/>
      <c r="G66" s="1472"/>
      <c r="H66" s="1472"/>
      <c r="I66" s="1472"/>
      <c r="J66" s="1472"/>
      <c r="K66" s="1472"/>
      <c r="L66" s="1472"/>
      <c r="M66" s="1472"/>
      <c r="N66" s="1473"/>
    </row>
    <row r="67" spans="1:15" ht="25.5" x14ac:dyDescent="0.2">
      <c r="A67" s="563" t="s">
        <v>632</v>
      </c>
      <c r="B67" s="560" t="s">
        <v>633</v>
      </c>
      <c r="C67" s="957"/>
      <c r="D67" s="958"/>
      <c r="E67" s="1315">
        <f>383355000+50000000+33639000</f>
        <v>466994000</v>
      </c>
      <c r="F67" s="958"/>
      <c r="G67" s="958"/>
      <c r="H67" s="921">
        <f>SUM(C67:G67)</f>
        <v>466994000</v>
      </c>
      <c r="I67" s="959"/>
      <c r="J67" s="958"/>
      <c r="K67" s="958"/>
      <c r="L67" s="958"/>
      <c r="M67" s="958"/>
      <c r="N67" s="921">
        <f>SUM(I67:M67)</f>
        <v>0</v>
      </c>
    </row>
    <row r="68" spans="1:15" ht="26.25" thickBot="1" x14ac:dyDescent="0.25">
      <c r="A68" s="665" t="s">
        <v>634</v>
      </c>
      <c r="B68" s="663" t="s">
        <v>635</v>
      </c>
      <c r="C68" s="960"/>
      <c r="D68" s="929"/>
      <c r="E68" s="929"/>
      <c r="F68" s="929">
        <f>1187733250-20000000+50000000</f>
        <v>1217733250</v>
      </c>
      <c r="G68" s="929"/>
      <c r="H68" s="925">
        <f>SUM(C68:G68)</f>
        <v>1217733250</v>
      </c>
      <c r="I68" s="1276">
        <f>20842932+3932981-230000-4720000</f>
        <v>19825913</v>
      </c>
      <c r="J68" s="933"/>
      <c r="K68" s="929"/>
      <c r="L68" s="929">
        <f>1022728296+50000000</f>
        <v>1072728296</v>
      </c>
      <c r="M68" s="933">
        <f>10000000+120420513+2653479-1647918-1769228+3366934+3399263-4655454+23132920-39578708-10000000</f>
        <v>105321801</v>
      </c>
      <c r="N68" s="925">
        <f>SUM(I68:M68)</f>
        <v>1197876010</v>
      </c>
    </row>
    <row r="69" spans="1:15" ht="13.5" thickBot="1" x14ac:dyDescent="0.25">
      <c r="A69" s="1455" t="s">
        <v>49</v>
      </c>
      <c r="B69" s="1456"/>
      <c r="C69" s="963">
        <f t="shared" ref="C69:N69" si="10">SUM(C9:C68)</f>
        <v>2331783993</v>
      </c>
      <c r="D69" s="963">
        <f t="shared" si="10"/>
        <v>1308918890</v>
      </c>
      <c r="E69" s="963">
        <f t="shared" si="10"/>
        <v>474994000</v>
      </c>
      <c r="F69" s="963">
        <f t="shared" si="10"/>
        <v>1217733250</v>
      </c>
      <c r="G69" s="963">
        <f t="shared" si="10"/>
        <v>2381931880</v>
      </c>
      <c r="H69" s="964">
        <f t="shared" si="10"/>
        <v>7715362013</v>
      </c>
      <c r="I69" s="963">
        <f t="shared" si="10"/>
        <v>1090076466</v>
      </c>
      <c r="J69" s="963">
        <f t="shared" si="10"/>
        <v>3560956285</v>
      </c>
      <c r="K69" s="963">
        <f t="shared" si="10"/>
        <v>1886279165</v>
      </c>
      <c r="L69" s="963">
        <f t="shared" si="10"/>
        <v>1072728296</v>
      </c>
      <c r="M69" s="963">
        <f t="shared" si="10"/>
        <v>105321801</v>
      </c>
      <c r="N69" s="963">
        <f t="shared" si="10"/>
        <v>7715362013</v>
      </c>
      <c r="O69" s="391">
        <f>N69-H69</f>
        <v>0</v>
      </c>
    </row>
    <row r="70" spans="1:15" ht="13.5" thickBot="1" x14ac:dyDescent="0.25">
      <c r="A70" s="1474" t="s">
        <v>379</v>
      </c>
      <c r="B70" s="1475"/>
      <c r="C70" s="965"/>
      <c r="D70" s="966"/>
      <c r="E70" s="966"/>
      <c r="F70" s="966"/>
      <c r="G70" s="966"/>
      <c r="H70" s="925"/>
      <c r="I70" s="967"/>
      <c r="J70" s="923"/>
      <c r="K70" s="923">
        <f>SUM(K67:K68,K60:K65,K47:K52,K38:K45,K34:K36,K27:K30,K9:K15)</f>
        <v>1886279165</v>
      </c>
      <c r="L70" s="966"/>
      <c r="M70" s="966"/>
      <c r="N70" s="968">
        <f>SUM(I70:M70)</f>
        <v>1886279165</v>
      </c>
      <c r="O70" s="391"/>
    </row>
    <row r="71" spans="1:15" ht="13.5" thickBot="1" x14ac:dyDescent="0.25">
      <c r="A71" s="1455" t="s">
        <v>59</v>
      </c>
      <c r="B71" s="1456"/>
      <c r="C71" s="969">
        <f>C69-C70</f>
        <v>2331783993</v>
      </c>
      <c r="D71" s="970">
        <f t="shared" ref="D71:M71" si="11">D69-D70</f>
        <v>1308918890</v>
      </c>
      <c r="E71" s="970">
        <f t="shared" si="11"/>
        <v>474994000</v>
      </c>
      <c r="F71" s="970">
        <f t="shared" si="11"/>
        <v>1217733250</v>
      </c>
      <c r="G71" s="970">
        <f t="shared" si="11"/>
        <v>2381931880</v>
      </c>
      <c r="H71" s="971">
        <f t="shared" si="11"/>
        <v>7715362013</v>
      </c>
      <c r="I71" s="969">
        <f t="shared" si="11"/>
        <v>1090076466</v>
      </c>
      <c r="J71" s="970">
        <f t="shared" si="11"/>
        <v>3560956285</v>
      </c>
      <c r="K71" s="970">
        <f t="shared" si="11"/>
        <v>0</v>
      </c>
      <c r="L71" s="970">
        <f t="shared" si="11"/>
        <v>1072728296</v>
      </c>
      <c r="M71" s="970">
        <f t="shared" si="11"/>
        <v>105321801</v>
      </c>
      <c r="N71" s="972">
        <f>N69-N70</f>
        <v>5829082848</v>
      </c>
      <c r="O71" s="391"/>
    </row>
    <row r="72" spans="1:15" x14ac:dyDescent="0.2">
      <c r="B72" s="298"/>
      <c r="C72" s="300">
        <f>C71-C73</f>
        <v>0</v>
      </c>
      <c r="D72" s="300">
        <f t="shared" ref="D72:M72" si="12">D71-D73</f>
        <v>0</v>
      </c>
      <c r="E72" s="300">
        <f t="shared" si="12"/>
        <v>0</v>
      </c>
      <c r="F72" s="300">
        <f t="shared" si="12"/>
        <v>0</v>
      </c>
      <c r="G72" s="300">
        <f t="shared" si="12"/>
        <v>0</v>
      </c>
      <c r="H72" s="300">
        <f t="shared" si="12"/>
        <v>0</v>
      </c>
      <c r="I72" s="300">
        <f t="shared" si="12"/>
        <v>0</v>
      </c>
      <c r="J72" s="300">
        <f t="shared" si="12"/>
        <v>0</v>
      </c>
      <c r="K72" s="300">
        <f>K70-K73</f>
        <v>0</v>
      </c>
      <c r="L72" s="300">
        <f t="shared" si="12"/>
        <v>0</v>
      </c>
      <c r="M72" s="300">
        <f t="shared" si="12"/>
        <v>0</v>
      </c>
      <c r="N72" s="300">
        <f>N69-N73</f>
        <v>0</v>
      </c>
    </row>
    <row r="73" spans="1:15" x14ac:dyDescent="0.2">
      <c r="B73" s="298"/>
      <c r="C73" s="300">
        <f>'14. sz. mell. Önk.'!C7+'14. sz. mell. Önk.'!C16+'14. sz. mell. Önk.'!C37+'14. sz. mell. Önk.'!C55+'14. sz. mell. Önk.'!C78</f>
        <v>2331783993</v>
      </c>
      <c r="D73" s="300">
        <f>'14. sz. mell. Önk.'!C23+'14. sz. mell. Önk.'!C49+'14. sz. mell. Önk.'!C60</f>
        <v>1308918890</v>
      </c>
      <c r="E73" s="300">
        <f>'14. sz. mell. Önk.'!C30</f>
        <v>474994000</v>
      </c>
      <c r="F73" s="300">
        <f>'14. sz. mell. Önk.'!C66</f>
        <v>1217733250</v>
      </c>
      <c r="G73" s="300">
        <f>'14. sz. mell. Önk.'!C75</f>
        <v>2381931880</v>
      </c>
      <c r="H73" s="566">
        <f>SUM(C73:G73)</f>
        <v>7715362013</v>
      </c>
      <c r="I73" s="300">
        <f>'14. sz. mell. Önk.'!C92-'14. sz. mell. Önk.'!C110+'14. sz. mell. Önk.'!C139</f>
        <v>1090076466</v>
      </c>
      <c r="J73" s="300">
        <f>'14. sz. mell. Önk.'!C113</f>
        <v>3560956285</v>
      </c>
      <c r="K73" s="301">
        <f>'34.sz.m. int.összesítő'!C16</f>
        <v>1886279165</v>
      </c>
      <c r="L73" s="300">
        <f>'14. sz. mell. Önk.'!C128</f>
        <v>1072728296</v>
      </c>
      <c r="M73" s="300">
        <f>'14. sz. mell. Önk.'!C110</f>
        <v>105321801</v>
      </c>
      <c r="N73" s="299">
        <f>SUM(I73:M73)</f>
        <v>7715362013</v>
      </c>
    </row>
    <row r="74" spans="1:15" x14ac:dyDescent="0.2">
      <c r="B74" s="298"/>
      <c r="C74" s="300"/>
      <c r="D74" s="300"/>
      <c r="E74" s="300"/>
      <c r="F74" s="300"/>
      <c r="G74" s="300"/>
      <c r="H74" s="566"/>
      <c r="I74" s="302"/>
      <c r="J74" s="300"/>
      <c r="K74" s="301"/>
      <c r="L74" s="300"/>
      <c r="M74" s="300"/>
      <c r="N74" s="299"/>
    </row>
    <row r="75" spans="1:15" x14ac:dyDescent="0.2">
      <c r="B75" s="298"/>
      <c r="C75" s="300"/>
      <c r="D75" s="300"/>
      <c r="E75" s="300"/>
      <c r="F75" s="300"/>
      <c r="G75" s="300"/>
      <c r="H75" s="566"/>
      <c r="I75" s="300"/>
      <c r="J75" s="300"/>
      <c r="K75" s="301"/>
      <c r="L75" s="300"/>
      <c r="M75" s="300"/>
      <c r="N75" s="299"/>
    </row>
    <row r="76" spans="1:15" x14ac:dyDescent="0.2">
      <c r="B76" s="298"/>
      <c r="C76" s="300"/>
      <c r="D76" s="300"/>
      <c r="E76" s="300"/>
      <c r="F76" s="300"/>
      <c r="G76" s="300"/>
      <c r="H76" s="566"/>
      <c r="I76" s="300"/>
      <c r="J76" s="300"/>
      <c r="K76" s="301"/>
      <c r="L76" s="300"/>
      <c r="M76" s="300"/>
      <c r="N76" s="299"/>
    </row>
    <row r="77" spans="1:15" x14ac:dyDescent="0.2">
      <c r="B77" s="298"/>
      <c r="C77" s="300"/>
      <c r="D77" s="300"/>
      <c r="E77" s="300"/>
      <c r="F77" s="300"/>
      <c r="G77" s="300"/>
      <c r="H77" s="566"/>
      <c r="I77" s="300"/>
      <c r="J77" s="300"/>
      <c r="K77" s="301"/>
      <c r="L77" s="300"/>
      <c r="M77" s="300"/>
      <c r="N77" s="299"/>
    </row>
    <row r="78" spans="1:15" x14ac:dyDescent="0.2">
      <c r="B78" s="298"/>
      <c r="C78" s="300"/>
      <c r="D78" s="300"/>
      <c r="E78" s="300"/>
      <c r="F78" s="300"/>
      <c r="G78" s="300"/>
      <c r="H78" s="566"/>
      <c r="I78" s="300"/>
      <c r="J78" s="300"/>
      <c r="K78" s="301"/>
      <c r="L78" s="300"/>
      <c r="M78" s="300"/>
      <c r="N78" s="299"/>
    </row>
  </sheetData>
  <mergeCells count="20">
    <mergeCell ref="A71:B71"/>
    <mergeCell ref="A8:N8"/>
    <mergeCell ref="A16:N16"/>
    <mergeCell ref="A26:N26"/>
    <mergeCell ref="A32:N32"/>
    <mergeCell ref="A37:N37"/>
    <mergeCell ref="A46:N46"/>
    <mergeCell ref="A56:N56"/>
    <mergeCell ref="A66:N66"/>
    <mergeCell ref="A69:B69"/>
    <mergeCell ref="A70:B70"/>
    <mergeCell ref="A53:N53"/>
    <mergeCell ref="A1:N1"/>
    <mergeCell ref="J2:N2"/>
    <mergeCell ref="A3:N3"/>
    <mergeCell ref="A4:N4"/>
    <mergeCell ref="C6:H6"/>
    <mergeCell ref="I6:N6"/>
    <mergeCell ref="A6:A7"/>
    <mergeCell ref="B6:B7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6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J52"/>
  <sheetViews>
    <sheetView topLeftCell="A13" workbookViewId="0">
      <selection activeCell="I17" sqref="I17"/>
    </sheetView>
  </sheetViews>
  <sheetFormatPr defaultRowHeight="15.75" x14ac:dyDescent="0.25"/>
  <cols>
    <col min="1" max="1" width="9" style="167" customWidth="1"/>
    <col min="2" max="2" width="66.33203125" style="167" bestFit="1" customWidth="1"/>
    <col min="3" max="3" width="15.5" style="168" hidden="1" customWidth="1"/>
    <col min="4" max="6" width="15.5" style="167" customWidth="1"/>
    <col min="7" max="16384" width="9.33203125" style="167"/>
  </cols>
  <sheetData>
    <row r="1" spans="1:10" x14ac:dyDescent="0.25">
      <c r="A1" s="1326" t="str">
        <f>CONCATENATE("43. tájékoztató tábla ",ALAPADATOK!A7," ",ALAPADATOK!B7," ",ALAPADATOK!C7," ",ALAPADATOK!D7," ",ALAPADATOK!E7," ",ALAPADATOK!F7," ",ALAPADATOK!G7," ",ALAPADATOK!H7)</f>
        <v>43. tájékoztató tábla az 5 / 2022. ( II.24. ) önkormányzati rendelethez</v>
      </c>
      <c r="B1" s="1326"/>
      <c r="C1" s="1326"/>
      <c r="D1" s="1326"/>
      <c r="E1" s="1326"/>
      <c r="F1" s="1326"/>
    </row>
    <row r="2" spans="1:10" x14ac:dyDescent="0.25">
      <c r="A2" s="1444" t="s">
        <v>1029</v>
      </c>
      <c r="B2" s="1444"/>
      <c r="C2" s="1444"/>
      <c r="D2" s="1444"/>
      <c r="E2" s="1444"/>
      <c r="F2" s="1444"/>
      <c r="G2" s="1133"/>
      <c r="H2" s="1133"/>
      <c r="I2" s="1133"/>
      <c r="J2" s="1133"/>
    </row>
    <row r="3" spans="1:10" ht="35.25" customHeight="1" x14ac:dyDescent="0.25">
      <c r="A3" s="1415" t="s">
        <v>1006</v>
      </c>
      <c r="B3" s="1415"/>
      <c r="C3" s="1415"/>
      <c r="D3" s="1415"/>
      <c r="E3" s="1415"/>
      <c r="F3" s="1415"/>
    </row>
    <row r="5" spans="1:10" ht="15.95" customHeight="1" x14ac:dyDescent="0.25">
      <c r="A5" s="1328" t="s">
        <v>13</v>
      </c>
      <c r="B5" s="1328"/>
      <c r="C5" s="1328"/>
      <c r="D5" s="1328"/>
      <c r="E5" s="1328"/>
    </row>
    <row r="6" spans="1:10" ht="15.95" customHeight="1" thickBot="1" x14ac:dyDescent="0.3">
      <c r="A6" s="1327" t="s">
        <v>114</v>
      </c>
      <c r="B6" s="1327"/>
      <c r="D6" s="679"/>
      <c r="E6" s="119"/>
      <c r="F6" s="119" t="s">
        <v>494</v>
      </c>
    </row>
    <row r="7" spans="1:10" ht="38.1" customHeight="1" thickBot="1" x14ac:dyDescent="0.3">
      <c r="A7" s="20" t="s">
        <v>63</v>
      </c>
      <c r="B7" s="378" t="s">
        <v>15</v>
      </c>
      <c r="C7" s="443" t="s">
        <v>549</v>
      </c>
      <c r="D7" s="443" t="s">
        <v>656</v>
      </c>
      <c r="E7" s="443" t="s">
        <v>858</v>
      </c>
      <c r="F7" s="443" t="s">
        <v>1005</v>
      </c>
    </row>
    <row r="8" spans="1:10" s="178" customFormat="1" ht="12" customHeight="1" thickBot="1" x14ac:dyDescent="0.25">
      <c r="A8" s="25" t="s">
        <v>385</v>
      </c>
      <c r="B8" s="277" t="s">
        <v>386</v>
      </c>
      <c r="C8" s="444" t="s">
        <v>387</v>
      </c>
      <c r="D8" s="174" t="s">
        <v>387</v>
      </c>
      <c r="E8" s="455" t="s">
        <v>437</v>
      </c>
      <c r="F8" s="455" t="s">
        <v>438</v>
      </c>
    </row>
    <row r="9" spans="1:10" s="179" customFormat="1" ht="12" customHeight="1" thickBot="1" x14ac:dyDescent="0.25">
      <c r="A9" s="17" t="s">
        <v>16</v>
      </c>
      <c r="B9" s="360" t="s">
        <v>550</v>
      </c>
      <c r="C9" s="445">
        <v>1350000000</v>
      </c>
      <c r="D9" s="445">
        <v>1650000000</v>
      </c>
      <c r="E9" s="445">
        <v>1660000000</v>
      </c>
      <c r="F9" s="445">
        <v>1670000000</v>
      </c>
    </row>
    <row r="10" spans="1:10" s="179" customFormat="1" ht="12" customHeight="1" thickBot="1" x14ac:dyDescent="0.25">
      <c r="A10" s="17" t="s">
        <v>17</v>
      </c>
      <c r="B10" s="363" t="s">
        <v>308</v>
      </c>
      <c r="C10" s="445">
        <v>181000000</v>
      </c>
      <c r="D10" s="445">
        <v>300000000</v>
      </c>
      <c r="E10" s="445">
        <v>300000000</v>
      </c>
      <c r="F10" s="445">
        <v>300000000</v>
      </c>
    </row>
    <row r="11" spans="1:10" s="179" customFormat="1" ht="12" customHeight="1" thickBot="1" x14ac:dyDescent="0.25">
      <c r="A11" s="17" t="s">
        <v>18</v>
      </c>
      <c r="B11" s="360" t="s">
        <v>315</v>
      </c>
      <c r="C11" s="445">
        <v>300000000</v>
      </c>
      <c r="D11" s="445">
        <v>300000000</v>
      </c>
      <c r="E11" s="445">
        <v>150000000</v>
      </c>
      <c r="F11" s="445">
        <v>150000000</v>
      </c>
    </row>
    <row r="12" spans="1:10" s="179" customFormat="1" ht="12" customHeight="1" thickBot="1" x14ac:dyDescent="0.25">
      <c r="A12" s="17" t="s">
        <v>124</v>
      </c>
      <c r="B12" s="360" t="s">
        <v>650</v>
      </c>
      <c r="C12" s="446">
        <f>SUM(C17:C19)+C13</f>
        <v>353500000</v>
      </c>
      <c r="D12" s="446">
        <f>D13+D16+D17+D18+D19</f>
        <v>441000000</v>
      </c>
      <c r="E12" s="446">
        <f>E13+E16+E17+E18+E19</f>
        <v>455000000</v>
      </c>
      <c r="F12" s="446">
        <f>F13+F16+F17+F18+F19</f>
        <v>465000000</v>
      </c>
    </row>
    <row r="13" spans="1:10" s="179" customFormat="1" ht="12" customHeight="1" x14ac:dyDescent="0.2">
      <c r="A13" s="12" t="s">
        <v>195</v>
      </c>
      <c r="B13" s="268" t="s">
        <v>649</v>
      </c>
      <c r="C13" s="447">
        <f>SUM(C14:C16)</f>
        <v>310000000</v>
      </c>
      <c r="D13" s="447">
        <f>D14+D15</f>
        <v>427000000</v>
      </c>
      <c r="E13" s="447">
        <f>E14+E15</f>
        <v>441000000</v>
      </c>
      <c r="F13" s="447">
        <f>F14+F15</f>
        <v>451000000</v>
      </c>
    </row>
    <row r="14" spans="1:10" s="179" customFormat="1" ht="12" customHeight="1" x14ac:dyDescent="0.2">
      <c r="A14" s="11" t="s">
        <v>198</v>
      </c>
      <c r="B14" s="269" t="s">
        <v>201</v>
      </c>
      <c r="C14" s="448">
        <v>78000000</v>
      </c>
      <c r="D14" s="448">
        <v>91000000</v>
      </c>
      <c r="E14" s="448">
        <v>91000000</v>
      </c>
      <c r="F14" s="448">
        <v>91000000</v>
      </c>
    </row>
    <row r="15" spans="1:10" s="179" customFormat="1" ht="12" customHeight="1" x14ac:dyDescent="0.2">
      <c r="A15" s="11" t="s">
        <v>199</v>
      </c>
      <c r="B15" s="523" t="s">
        <v>561</v>
      </c>
      <c r="C15" s="448">
        <v>232000000</v>
      </c>
      <c r="D15" s="448">
        <v>336000000</v>
      </c>
      <c r="E15" s="448">
        <v>350000000</v>
      </c>
      <c r="F15" s="448">
        <v>360000000</v>
      </c>
    </row>
    <row r="16" spans="1:10" s="179" customFormat="1" ht="12" customHeight="1" x14ac:dyDescent="0.2">
      <c r="A16" s="11" t="s">
        <v>200</v>
      </c>
      <c r="B16" s="269" t="s">
        <v>472</v>
      </c>
      <c r="C16" s="449"/>
      <c r="D16" s="449"/>
      <c r="E16" s="449"/>
      <c r="F16" s="449"/>
    </row>
    <row r="17" spans="1:10" s="179" customFormat="1" ht="12" customHeight="1" x14ac:dyDescent="0.2">
      <c r="A17" s="11" t="s">
        <v>474</v>
      </c>
      <c r="B17" s="269" t="s">
        <v>202</v>
      </c>
      <c r="C17" s="448">
        <v>28000000</v>
      </c>
      <c r="D17" s="448"/>
      <c r="E17" s="448"/>
      <c r="F17" s="448"/>
    </row>
    <row r="18" spans="1:10" s="179" customFormat="1" ht="12" customHeight="1" x14ac:dyDescent="0.2">
      <c r="A18" s="11" t="s">
        <v>483</v>
      </c>
      <c r="B18" s="269" t="s">
        <v>203</v>
      </c>
      <c r="C18" s="448">
        <v>4500000</v>
      </c>
      <c r="D18" s="448"/>
      <c r="E18" s="448"/>
      <c r="F18" s="448"/>
    </row>
    <row r="19" spans="1:10" s="179" customFormat="1" ht="12" customHeight="1" thickBot="1" x14ac:dyDescent="0.25">
      <c r="A19" s="13" t="s">
        <v>484</v>
      </c>
      <c r="B19" s="270" t="s">
        <v>204</v>
      </c>
      <c r="C19" s="450">
        <v>11000000</v>
      </c>
      <c r="D19" s="450">
        <v>14000000</v>
      </c>
      <c r="E19" s="450">
        <v>14000000</v>
      </c>
      <c r="F19" s="450">
        <v>14000000</v>
      </c>
    </row>
    <row r="20" spans="1:10" s="179" customFormat="1" ht="12" customHeight="1" thickBot="1" x14ac:dyDescent="0.25">
      <c r="A20" s="17" t="s">
        <v>20</v>
      </c>
      <c r="B20" s="360" t="s">
        <v>551</v>
      </c>
      <c r="C20" s="445">
        <v>440000000</v>
      </c>
      <c r="D20" s="445">
        <v>365000000</v>
      </c>
      <c r="E20" s="445">
        <v>365000000</v>
      </c>
      <c r="F20" s="445">
        <v>370000000</v>
      </c>
    </row>
    <row r="21" spans="1:10" s="179" customFormat="1" ht="12" customHeight="1" thickBot="1" x14ac:dyDescent="0.25">
      <c r="A21" s="17" t="s">
        <v>21</v>
      </c>
      <c r="B21" s="360" t="s">
        <v>9</v>
      </c>
      <c r="C21" s="445">
        <v>6000000</v>
      </c>
      <c r="D21" s="445">
        <v>20000000</v>
      </c>
      <c r="E21" s="445">
        <v>10000000</v>
      </c>
      <c r="F21" s="445">
        <v>5000000</v>
      </c>
    </row>
    <row r="22" spans="1:10" s="179" customFormat="1" ht="12" customHeight="1" thickBot="1" x14ac:dyDescent="0.25">
      <c r="A22" s="17" t="s">
        <v>131</v>
      </c>
      <c r="B22" s="360" t="s">
        <v>552</v>
      </c>
      <c r="C22" s="445">
        <v>2000000</v>
      </c>
      <c r="D22" s="445">
        <v>1200000</v>
      </c>
      <c r="E22" s="445">
        <v>1000000</v>
      </c>
      <c r="F22" s="445">
        <v>1000000</v>
      </c>
    </row>
    <row r="23" spans="1:10" s="179" customFormat="1" ht="12" customHeight="1" thickBot="1" x14ac:dyDescent="0.25">
      <c r="A23" s="17" t="s">
        <v>23</v>
      </c>
      <c r="B23" s="363" t="s">
        <v>553</v>
      </c>
      <c r="C23" s="445"/>
      <c r="D23" s="445"/>
      <c r="E23" s="445"/>
      <c r="F23" s="445"/>
    </row>
    <row r="24" spans="1:10" s="179" customFormat="1" ht="12" customHeight="1" thickBot="1" x14ac:dyDescent="0.25">
      <c r="A24" s="17" t="s">
        <v>24</v>
      </c>
      <c r="B24" s="360" t="s">
        <v>237</v>
      </c>
      <c r="C24" s="446">
        <f>+C9+C10+C11+C12+C20+C21+C22+C23</f>
        <v>2632500000</v>
      </c>
      <c r="D24" s="446">
        <f>SUM(D9:D12)+SUM(D20:D23)</f>
        <v>3077200000</v>
      </c>
      <c r="E24" s="446">
        <f>SUM(E9:E12)+SUM(E20:E23)</f>
        <v>2941000000</v>
      </c>
      <c r="F24" s="446">
        <f>SUM(F9:F12)+SUM(F20:F23)</f>
        <v>2961000000</v>
      </c>
    </row>
    <row r="25" spans="1:10" s="179" customFormat="1" ht="12" customHeight="1" thickBot="1" x14ac:dyDescent="0.25">
      <c r="A25" s="17" t="s">
        <v>25</v>
      </c>
      <c r="B25" s="360" t="s">
        <v>554</v>
      </c>
      <c r="C25" s="661">
        <v>400000000</v>
      </c>
      <c r="D25" s="661">
        <v>1800000000</v>
      </c>
      <c r="E25" s="661">
        <v>1800000000</v>
      </c>
      <c r="F25" s="661">
        <v>1800000000</v>
      </c>
    </row>
    <row r="26" spans="1:10" s="179" customFormat="1" ht="12" customHeight="1" thickBot="1" x14ac:dyDescent="0.25">
      <c r="A26" s="17" t="s">
        <v>26</v>
      </c>
      <c r="B26" s="360" t="s">
        <v>555</v>
      </c>
      <c r="C26" s="446">
        <f>+C24+C25</f>
        <v>3032500000</v>
      </c>
      <c r="D26" s="446">
        <f>D24+D25</f>
        <v>4877200000</v>
      </c>
      <c r="E26" s="446">
        <f>E24+E25</f>
        <v>4741000000</v>
      </c>
      <c r="F26" s="446">
        <f>F24+F25</f>
        <v>4761000000</v>
      </c>
    </row>
    <row r="27" spans="1:10" s="179" customFormat="1" ht="12" customHeight="1" x14ac:dyDescent="0.2">
      <c r="A27" s="261"/>
      <c r="B27" s="262"/>
      <c r="C27" s="451"/>
      <c r="D27" s="452"/>
      <c r="E27" s="453"/>
      <c r="F27" s="453"/>
      <c r="J27" s="567"/>
    </row>
    <row r="28" spans="1:10" s="179" customFormat="1" ht="12" customHeight="1" x14ac:dyDescent="0.2">
      <c r="A28" s="1328" t="s">
        <v>44</v>
      </c>
      <c r="B28" s="1328"/>
      <c r="C28" s="1328"/>
      <c r="D28" s="1328"/>
      <c r="E28" s="1328"/>
    </row>
    <row r="29" spans="1:10" s="179" customFormat="1" ht="12" customHeight="1" thickBot="1" x14ac:dyDescent="0.25">
      <c r="A29" s="1329" t="s">
        <v>115</v>
      </c>
      <c r="B29" s="1329"/>
      <c r="C29" s="168"/>
      <c r="D29" s="679"/>
      <c r="E29" s="119"/>
      <c r="F29" s="119" t="str">
        <f>F6</f>
        <v>Forintban!</v>
      </c>
    </row>
    <row r="30" spans="1:10" s="179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54" t="str">
        <f>+E7</f>
        <v>2024. évi</v>
      </c>
      <c r="F30" s="454" t="str">
        <f>+F7</f>
        <v>2025. évi</v>
      </c>
    </row>
    <row r="31" spans="1:10" s="179" customFormat="1" ht="12" customHeight="1" thickBot="1" x14ac:dyDescent="0.25">
      <c r="A31" s="173" t="s">
        <v>385</v>
      </c>
      <c r="B31" s="174" t="s">
        <v>386</v>
      </c>
      <c r="C31" s="174" t="s">
        <v>387</v>
      </c>
      <c r="D31" s="174" t="s">
        <v>387</v>
      </c>
      <c r="E31" s="455" t="s">
        <v>437</v>
      </c>
      <c r="F31" s="455" t="s">
        <v>438</v>
      </c>
    </row>
    <row r="32" spans="1:10" s="179" customFormat="1" ht="15" customHeight="1" thickBot="1" x14ac:dyDescent="0.25">
      <c r="A32" s="17" t="s">
        <v>16</v>
      </c>
      <c r="B32" s="22" t="s">
        <v>556</v>
      </c>
      <c r="C32" s="456">
        <v>2420500000</v>
      </c>
      <c r="D32" s="456">
        <f>3250000000</f>
        <v>3250000000</v>
      </c>
      <c r="E32" s="456">
        <v>3300000000</v>
      </c>
      <c r="F32" s="456">
        <v>3350000000</v>
      </c>
    </row>
    <row r="33" spans="1:6" ht="12" customHeight="1" thickBot="1" x14ac:dyDescent="0.3">
      <c r="A33" s="240" t="s">
        <v>17</v>
      </c>
      <c r="B33" s="457" t="s">
        <v>557</v>
      </c>
      <c r="C33" s="458">
        <f>+C34+C35+C36</f>
        <v>457000000</v>
      </c>
      <c r="D33" s="458">
        <f>D34+D35+D36</f>
        <v>627200000</v>
      </c>
      <c r="E33" s="458">
        <f>E34+E35+E36</f>
        <v>341000000</v>
      </c>
      <c r="F33" s="458">
        <f>F34+F35+F36</f>
        <v>211000000</v>
      </c>
    </row>
    <row r="34" spans="1:6" ht="12" customHeight="1" x14ac:dyDescent="0.25">
      <c r="A34" s="12" t="s">
        <v>91</v>
      </c>
      <c r="B34" s="5" t="s">
        <v>157</v>
      </c>
      <c r="C34" s="459">
        <v>145000000</v>
      </c>
      <c r="D34" s="459">
        <f>500000000-100000000</f>
        <v>400000000</v>
      </c>
      <c r="E34" s="459">
        <v>250000000</v>
      </c>
      <c r="F34" s="459">
        <f>150000000</f>
        <v>150000000</v>
      </c>
    </row>
    <row r="35" spans="1:6" ht="12" customHeight="1" x14ac:dyDescent="0.25">
      <c r="A35" s="12" t="s">
        <v>92</v>
      </c>
      <c r="B35" s="9" t="s">
        <v>138</v>
      </c>
      <c r="C35" s="460">
        <v>292000000</v>
      </c>
      <c r="D35" s="460">
        <f>100000000-3200000+100000000+123400000-103000000</f>
        <v>217200000</v>
      </c>
      <c r="E35" s="460">
        <f>100000000-19000000</f>
        <v>81000000</v>
      </c>
      <c r="F35" s="460">
        <f>51000000</f>
        <v>51000000</v>
      </c>
    </row>
    <row r="36" spans="1:6" ht="12" customHeight="1" thickBot="1" x14ac:dyDescent="0.3">
      <c r="A36" s="12" t="s">
        <v>93</v>
      </c>
      <c r="B36" s="107" t="s">
        <v>159</v>
      </c>
      <c r="C36" s="460">
        <v>20000000</v>
      </c>
      <c r="D36" s="460">
        <v>10000000</v>
      </c>
      <c r="E36" s="460">
        <v>10000000</v>
      </c>
      <c r="F36" s="460">
        <v>10000000</v>
      </c>
    </row>
    <row r="37" spans="1:6" ht="12" customHeight="1" thickBot="1" x14ac:dyDescent="0.3">
      <c r="A37" s="17" t="s">
        <v>18</v>
      </c>
      <c r="B37" s="54" t="s">
        <v>409</v>
      </c>
      <c r="C37" s="461">
        <f>+C32+C33</f>
        <v>2877500000</v>
      </c>
      <c r="D37" s="461">
        <f>D32+D33</f>
        <v>3877200000</v>
      </c>
      <c r="E37" s="461">
        <f>E32+E33</f>
        <v>3641000000</v>
      </c>
      <c r="F37" s="461">
        <f>F32+F33</f>
        <v>3561000000</v>
      </c>
    </row>
    <row r="38" spans="1:6" ht="15" customHeight="1" thickBot="1" x14ac:dyDescent="0.3">
      <c r="A38" s="17" t="s">
        <v>19</v>
      </c>
      <c r="B38" s="54" t="s">
        <v>558</v>
      </c>
      <c r="C38" s="662">
        <v>155000000</v>
      </c>
      <c r="D38" s="662">
        <v>1000000000</v>
      </c>
      <c r="E38" s="662">
        <v>1100000000</v>
      </c>
      <c r="F38" s="662">
        <v>1200000000</v>
      </c>
    </row>
    <row r="39" spans="1:6" s="179" customFormat="1" ht="12.95" customHeight="1" thickBot="1" x14ac:dyDescent="0.25">
      <c r="A39" s="108" t="s">
        <v>20</v>
      </c>
      <c r="B39" s="166" t="s">
        <v>559</v>
      </c>
      <c r="C39" s="462">
        <f>+C37+C38</f>
        <v>3032500000</v>
      </c>
      <c r="D39" s="462">
        <f>D37+D38</f>
        <v>4877200000</v>
      </c>
      <c r="E39" s="462">
        <f>E37+E38</f>
        <v>4741000000</v>
      </c>
      <c r="F39" s="462">
        <f>F37+F38</f>
        <v>4761000000</v>
      </c>
    </row>
    <row r="40" spans="1:6" x14ac:dyDescent="0.25">
      <c r="C40" s="167"/>
      <c r="D40" s="283">
        <f>D26-D39</f>
        <v>0</v>
      </c>
      <c r="E40" s="283">
        <f>E26-E39</f>
        <v>0</v>
      </c>
      <c r="F40" s="283">
        <f>F26-F39</f>
        <v>0</v>
      </c>
    </row>
    <row r="41" spans="1:6" x14ac:dyDescent="0.25">
      <c r="C41" s="167"/>
    </row>
    <row r="42" spans="1:6" x14ac:dyDescent="0.25">
      <c r="C42" s="167"/>
    </row>
    <row r="43" spans="1:6" ht="16.5" customHeight="1" x14ac:dyDescent="0.25">
      <c r="C43" s="167"/>
    </row>
    <row r="44" spans="1:6" x14ac:dyDescent="0.25">
      <c r="C44" s="167"/>
    </row>
    <row r="45" spans="1:6" x14ac:dyDescent="0.25">
      <c r="C45" s="167"/>
    </row>
    <row r="46" spans="1:6" x14ac:dyDescent="0.25">
      <c r="C46" s="167"/>
    </row>
    <row r="47" spans="1:6" x14ac:dyDescent="0.25">
      <c r="C47" s="167"/>
    </row>
    <row r="48" spans="1:6" x14ac:dyDescent="0.25">
      <c r="C48" s="167"/>
    </row>
    <row r="49" s="167" customFormat="1" x14ac:dyDescent="0.25"/>
    <row r="50" s="167" customFormat="1" x14ac:dyDescent="0.25"/>
    <row r="51" s="167" customFormat="1" x14ac:dyDescent="0.25"/>
    <row r="52" s="167" customFormat="1" x14ac:dyDescent="0.25"/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1"/>
  <sheetViews>
    <sheetView view="pageBreakPreview" topLeftCell="D13" zoomScale="160" zoomScaleNormal="130" zoomScaleSheetLayoutView="160" workbookViewId="0">
      <selection activeCell="D11" sqref="D11"/>
    </sheetView>
  </sheetViews>
  <sheetFormatPr defaultColWidth="10.6640625" defaultRowHeight="12.75" x14ac:dyDescent="0.2"/>
  <cols>
    <col min="1" max="2" width="9.33203125" style="286" hidden="1" customWidth="1"/>
    <col min="3" max="3" width="58.1640625" style="286" hidden="1" customWidth="1"/>
    <col min="4" max="4" width="70.1640625" style="286" customWidth="1"/>
    <col min="5" max="5" width="14.33203125" style="286" customWidth="1"/>
    <col min="6" max="6" width="9.6640625" style="286" customWidth="1"/>
    <col min="7" max="7" width="10.6640625" style="286" customWidth="1"/>
    <col min="8" max="16384" width="10.6640625" style="286"/>
  </cols>
  <sheetData>
    <row r="1" spans="4:9" x14ac:dyDescent="0.2">
      <c r="D1" s="1476" t="str">
        <f>CONCATENATE("32. melléklet ",ALAPADATOK!A7," ",ALAPADATOK!B7," ",ALAPADATOK!C7," ",ALAPADATOK!D7," ",ALAPADATOK!E7," ",ALAPADATOK!F7," ",ALAPADATOK!G7," ",ALAPADATOK!H7)</f>
        <v>32. melléklet az 5 / 2022. ( II.24. ) önkormányzati rendelethez</v>
      </c>
      <c r="E1" s="1476"/>
      <c r="F1" s="284"/>
      <c r="G1" s="284"/>
    </row>
    <row r="2" spans="4:9" x14ac:dyDescent="0.2">
      <c r="D2" s="1444" t="s">
        <v>1030</v>
      </c>
      <c r="E2" s="1444"/>
      <c r="F2" s="1132"/>
      <c r="G2" s="1132"/>
      <c r="H2" s="1132"/>
      <c r="I2" s="1132"/>
    </row>
    <row r="3" spans="4:9" x14ac:dyDescent="0.2">
      <c r="D3" s="284"/>
      <c r="E3" s="284"/>
      <c r="F3" s="284"/>
      <c r="G3" s="284"/>
    </row>
    <row r="4" spans="4:9" ht="19.5" x14ac:dyDescent="0.35">
      <c r="D4" s="1477" t="s">
        <v>570</v>
      </c>
      <c r="E4" s="1477"/>
      <c r="F4" s="285"/>
      <c r="G4" s="285"/>
    </row>
    <row r="5" spans="4:9" ht="19.5" x14ac:dyDescent="0.35">
      <c r="D5" s="1477"/>
      <c r="E5" s="1477"/>
      <c r="F5" s="285"/>
      <c r="G5" s="285"/>
    </row>
    <row r="6" spans="4:9" x14ac:dyDescent="0.2">
      <c r="D6" s="284"/>
      <c r="E6" s="284"/>
      <c r="F6" s="284"/>
      <c r="G6" s="284"/>
    </row>
    <row r="8" spans="4:9" ht="13.5" thickBot="1" x14ac:dyDescent="0.25"/>
    <row r="9" spans="4:9" ht="21.75" thickBot="1" x14ac:dyDescent="0.25">
      <c r="D9" s="1011" t="s">
        <v>2</v>
      </c>
      <c r="E9" s="1012" t="s">
        <v>658</v>
      </c>
    </row>
    <row r="10" spans="4:9" x14ac:dyDescent="0.2">
      <c r="D10" s="586" t="s">
        <v>1009</v>
      </c>
      <c r="E10" s="901">
        <v>53</v>
      </c>
    </row>
    <row r="11" spans="4:9" x14ac:dyDescent="0.2">
      <c r="D11" s="1002" t="s">
        <v>1008</v>
      </c>
      <c r="E11" s="901">
        <v>19.75</v>
      </c>
    </row>
    <row r="12" spans="4:9" x14ac:dyDescent="0.2">
      <c r="D12" s="586" t="s">
        <v>567</v>
      </c>
      <c r="E12" s="650">
        <v>21</v>
      </c>
    </row>
    <row r="13" spans="4:9" x14ac:dyDescent="0.2">
      <c r="D13" s="586" t="s">
        <v>1007</v>
      </c>
      <c r="E13" s="650">
        <v>150</v>
      </c>
    </row>
    <row r="14" spans="4:9" x14ac:dyDescent="0.2">
      <c r="D14" s="586" t="s">
        <v>856</v>
      </c>
      <c r="E14" s="650">
        <v>50</v>
      </c>
    </row>
    <row r="15" spans="4:9" s="587" customFormat="1" x14ac:dyDescent="0.2">
      <c r="D15" s="999" t="s">
        <v>1010</v>
      </c>
      <c r="E15" s="1000">
        <v>2</v>
      </c>
    </row>
    <row r="16" spans="4:9" s="587" customFormat="1" ht="13.5" thickBot="1" x14ac:dyDescent="0.25">
      <c r="D16" s="1001" t="s">
        <v>482</v>
      </c>
      <c r="E16" s="1000">
        <v>50.38</v>
      </c>
    </row>
    <row r="17" spans="4:5" ht="13.5" thickBot="1" x14ac:dyDescent="0.25">
      <c r="D17" s="542" t="s">
        <v>568</v>
      </c>
      <c r="E17" s="884">
        <f>SUM(E10:E16)</f>
        <v>346.13</v>
      </c>
    </row>
    <row r="18" spans="4:5" ht="13.5" thickBot="1" x14ac:dyDescent="0.25">
      <c r="D18" s="885" t="s">
        <v>569</v>
      </c>
      <c r="E18" s="884">
        <f>E17-E14-E15</f>
        <v>294.13</v>
      </c>
    </row>
    <row r="19" spans="4:5" ht="13.5" thickBot="1" x14ac:dyDescent="0.25">
      <c r="D19" s="1135" t="s">
        <v>1031</v>
      </c>
      <c r="E19" s="1134">
        <v>6</v>
      </c>
    </row>
    <row r="20" spans="4:5" ht="13.5" thickBot="1" x14ac:dyDescent="0.25">
      <c r="D20" s="1135" t="s">
        <v>1054</v>
      </c>
      <c r="E20" s="1134">
        <v>1.67</v>
      </c>
    </row>
    <row r="21" spans="4:5" ht="13.5" thickBot="1" x14ac:dyDescent="0.25">
      <c r="D21" s="542" t="s">
        <v>657</v>
      </c>
      <c r="E21" s="884">
        <f>E18+E19+E20</f>
        <v>301.8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C120" sqref="C120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9.33203125" style="167" customWidth="1"/>
    <col min="10" max="16384" width="9.33203125" style="167"/>
  </cols>
  <sheetData>
    <row r="1" spans="1:3" x14ac:dyDescent="0.25">
      <c r="A1" s="1326" t="str">
        <f>CONCATENATE("4. melléklet"," ",ALAPADATOK!A7," ",ALAPADATOK!B7," ",ALAPADATOK!C7," ",ALAPADATOK!D8," ",ALAPADATOK!E7," ",ALAPADATOK!F7," ",ALAPADATOK!G7," ",ALAPADATOK!H7)</f>
        <v>4. melléklet az 5 / 2023. ( II.24. ) önkormányzati rendelethez</v>
      </c>
      <c r="B1" s="1326"/>
      <c r="C1" s="1326"/>
    </row>
    <row r="2" spans="1:3" x14ac:dyDescent="0.25">
      <c r="A2" s="612"/>
      <c r="B2" s="612"/>
      <c r="C2" s="612"/>
    </row>
    <row r="3" spans="1:3" x14ac:dyDescent="0.25">
      <c r="A3" s="1325" t="str">
        <f>CONCATENATE(ALAPADATOK!A3)</f>
        <v>Tiszavasvári Város Önkormányzat</v>
      </c>
      <c r="B3" s="1325"/>
      <c r="C3" s="1325"/>
    </row>
    <row r="4" spans="1:3" x14ac:dyDescent="0.25">
      <c r="A4" s="1324" t="str">
        <f>CONCATENATE(ALAPADATOK!D7," ÉVI KÖLTSÉGVETÉS")</f>
        <v>2022. ÉVI KÖLTSÉGVETÉS</v>
      </c>
      <c r="B4" s="1324"/>
      <c r="C4" s="1324"/>
    </row>
    <row r="5" spans="1:3" x14ac:dyDescent="0.25">
      <c r="A5" s="1324" t="s">
        <v>680</v>
      </c>
      <c r="B5" s="1324"/>
      <c r="C5" s="1324"/>
    </row>
    <row r="7" spans="1:3" ht="15.95" customHeight="1" x14ac:dyDescent="0.25">
      <c r="A7" s="1328" t="s">
        <v>13</v>
      </c>
      <c r="B7" s="1328"/>
      <c r="C7" s="1328"/>
    </row>
    <row r="8" spans="1:3" ht="15.95" customHeight="1" thickBot="1" x14ac:dyDescent="0.3">
      <c r="A8" s="1327" t="s">
        <v>114</v>
      </c>
      <c r="B8" s="1327"/>
      <c r="C8" s="119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944</v>
      </c>
    </row>
    <row r="10" spans="1:3" s="178" customFormat="1" ht="12" customHeight="1" thickBot="1" x14ac:dyDescent="0.25">
      <c r="A10" s="173" t="s">
        <v>385</v>
      </c>
      <c r="B10" s="683" t="s">
        <v>386</v>
      </c>
      <c r="C10" s="175" t="s">
        <v>387</v>
      </c>
    </row>
    <row r="11" spans="1:3" s="179" customFormat="1" ht="12" customHeight="1" thickBot="1" x14ac:dyDescent="0.25">
      <c r="A11" s="17" t="s">
        <v>16</v>
      </c>
      <c r="B11" s="18" t="s">
        <v>179</v>
      </c>
      <c r="C11" s="110">
        <f>+C12+C13+C14+C17+C18+C19</f>
        <v>0</v>
      </c>
    </row>
    <row r="12" spans="1:3" s="179" customFormat="1" ht="12" customHeight="1" x14ac:dyDescent="0.2">
      <c r="A12" s="12" t="s">
        <v>85</v>
      </c>
      <c r="B12" s="180" t="s">
        <v>180</v>
      </c>
      <c r="C12" s="112"/>
    </row>
    <row r="13" spans="1:3" s="179" customFormat="1" ht="12" customHeight="1" x14ac:dyDescent="0.2">
      <c r="A13" s="11" t="s">
        <v>86</v>
      </c>
      <c r="B13" s="181" t="s">
        <v>181</v>
      </c>
      <c r="C13" s="111"/>
    </row>
    <row r="14" spans="1:3" s="179" customFormat="1" ht="12" customHeight="1" x14ac:dyDescent="0.2">
      <c r="A14" s="11" t="s">
        <v>87</v>
      </c>
      <c r="B14" s="181" t="s">
        <v>719</v>
      </c>
      <c r="C14" s="111"/>
    </row>
    <row r="15" spans="1:3" s="179" customFormat="1" ht="12" customHeight="1" x14ac:dyDescent="0.2">
      <c r="A15" s="11" t="s">
        <v>717</v>
      </c>
      <c r="B15" s="181" t="s">
        <v>720</v>
      </c>
      <c r="C15" s="111"/>
    </row>
    <row r="16" spans="1:3" s="179" customFormat="1" ht="12" customHeight="1" x14ac:dyDescent="0.2">
      <c r="A16" s="11" t="s">
        <v>718</v>
      </c>
      <c r="B16" s="181" t="s">
        <v>721</v>
      </c>
      <c r="C16" s="111"/>
    </row>
    <row r="17" spans="1:3" s="179" customFormat="1" ht="12" customHeight="1" x14ac:dyDescent="0.2">
      <c r="A17" s="11" t="s">
        <v>88</v>
      </c>
      <c r="B17" s="181" t="s">
        <v>183</v>
      </c>
      <c r="C17" s="111"/>
    </row>
    <row r="18" spans="1:3" s="179" customFormat="1" ht="12" customHeight="1" x14ac:dyDescent="0.2">
      <c r="A18" s="11" t="s">
        <v>111</v>
      </c>
      <c r="B18" s="106" t="s">
        <v>388</v>
      </c>
      <c r="C18" s="111"/>
    </row>
    <row r="19" spans="1:3" s="179" customFormat="1" ht="12" customHeight="1" thickBot="1" x14ac:dyDescent="0.25">
      <c r="A19" s="13" t="s">
        <v>89</v>
      </c>
      <c r="B19" s="107" t="s">
        <v>389</v>
      </c>
      <c r="C19" s="111"/>
    </row>
    <row r="20" spans="1:3" s="179" customFormat="1" ht="1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" customHeight="1" x14ac:dyDescent="0.2">
      <c r="A21" s="12" t="s">
        <v>91</v>
      </c>
      <c r="B21" s="180" t="s">
        <v>185</v>
      </c>
      <c r="C21" s="112"/>
    </row>
    <row r="22" spans="1:3" s="179" customFormat="1" ht="12" customHeight="1" x14ac:dyDescent="0.2">
      <c r="A22" s="11" t="s">
        <v>92</v>
      </c>
      <c r="B22" s="181" t="s">
        <v>186</v>
      </c>
      <c r="C22" s="111"/>
    </row>
    <row r="23" spans="1:3" s="179" customFormat="1" ht="12" customHeight="1" x14ac:dyDescent="0.2">
      <c r="A23" s="11" t="s">
        <v>93</v>
      </c>
      <c r="B23" s="181" t="s">
        <v>352</v>
      </c>
      <c r="C23" s="111"/>
    </row>
    <row r="24" spans="1:3" s="179" customFormat="1" ht="12" customHeight="1" x14ac:dyDescent="0.2">
      <c r="A24" s="11" t="s">
        <v>94</v>
      </c>
      <c r="B24" s="181" t="s">
        <v>353</v>
      </c>
      <c r="C24" s="111"/>
    </row>
    <row r="25" spans="1:3" s="179" customFormat="1" ht="12" customHeight="1" x14ac:dyDescent="0.2">
      <c r="A25" s="11" t="s">
        <v>95</v>
      </c>
      <c r="B25" s="181" t="s">
        <v>187</v>
      </c>
      <c r="C25" s="111"/>
    </row>
    <row r="26" spans="1:3" s="179" customFormat="1" ht="12" customHeight="1" thickBot="1" x14ac:dyDescent="0.25">
      <c r="A26" s="13" t="s">
        <v>104</v>
      </c>
      <c r="B26" s="107" t="s">
        <v>188</v>
      </c>
      <c r="C26" s="113"/>
    </row>
    <row r="27" spans="1:3" s="179" customFormat="1" ht="1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" customHeight="1" x14ac:dyDescent="0.2">
      <c r="A28" s="12" t="s">
        <v>74</v>
      </c>
      <c r="B28" s="180" t="s">
        <v>190</v>
      </c>
      <c r="C28" s="112"/>
    </row>
    <row r="29" spans="1:3" s="179" customFormat="1" ht="12" customHeight="1" x14ac:dyDescent="0.2">
      <c r="A29" s="11" t="s">
        <v>75</v>
      </c>
      <c r="B29" s="181" t="s">
        <v>191</v>
      </c>
      <c r="C29" s="111"/>
    </row>
    <row r="30" spans="1:3" s="179" customFormat="1" ht="12" customHeight="1" x14ac:dyDescent="0.2">
      <c r="A30" s="11" t="s">
        <v>76</v>
      </c>
      <c r="B30" s="181" t="s">
        <v>354</v>
      </c>
      <c r="C30" s="111"/>
    </row>
    <row r="31" spans="1:3" s="179" customFormat="1" ht="12" customHeight="1" x14ac:dyDescent="0.2">
      <c r="A31" s="11" t="s">
        <v>77</v>
      </c>
      <c r="B31" s="181" t="s">
        <v>355</v>
      </c>
      <c r="C31" s="111"/>
    </row>
    <row r="32" spans="1:3" s="179" customFormat="1" ht="12" customHeight="1" x14ac:dyDescent="0.2">
      <c r="A32" s="11" t="s">
        <v>122</v>
      </c>
      <c r="B32" s="181" t="s">
        <v>192</v>
      </c>
      <c r="C32" s="111"/>
    </row>
    <row r="33" spans="1:3" s="179" customFormat="1" ht="12" customHeight="1" thickBot="1" x14ac:dyDescent="0.25">
      <c r="A33" s="13" t="s">
        <v>123</v>
      </c>
      <c r="B33" s="182" t="s">
        <v>193</v>
      </c>
      <c r="C33" s="113"/>
    </row>
    <row r="34" spans="1:3" s="179" customFormat="1" ht="1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" customHeight="1" x14ac:dyDescent="0.2">
      <c r="A35" s="12" t="s">
        <v>195</v>
      </c>
      <c r="B35" s="180" t="s">
        <v>562</v>
      </c>
      <c r="C35" s="176">
        <f>C36+C37</f>
        <v>0</v>
      </c>
    </row>
    <row r="36" spans="1:3" s="179" customFormat="1" ht="12" customHeight="1" x14ac:dyDescent="0.2">
      <c r="A36" s="11" t="s">
        <v>196</v>
      </c>
      <c r="B36" s="181" t="s">
        <v>201</v>
      </c>
      <c r="C36" s="111"/>
    </row>
    <row r="37" spans="1:3" s="179" customFormat="1" ht="12" customHeight="1" x14ac:dyDescent="0.2">
      <c r="A37" s="11" t="s">
        <v>197</v>
      </c>
      <c r="B37" s="234" t="s">
        <v>561</v>
      </c>
      <c r="C37" s="111"/>
    </row>
    <row r="38" spans="1:3" s="179" customFormat="1" ht="12" customHeight="1" x14ac:dyDescent="0.2">
      <c r="A38" s="11" t="s">
        <v>198</v>
      </c>
      <c r="B38" s="181" t="s">
        <v>472</v>
      </c>
      <c r="C38" s="111"/>
    </row>
    <row r="39" spans="1:3" s="179" customFormat="1" ht="12" customHeight="1" x14ac:dyDescent="0.2">
      <c r="A39" s="11" t="s">
        <v>200</v>
      </c>
      <c r="B39" s="181" t="s">
        <v>203</v>
      </c>
      <c r="C39" s="111"/>
    </row>
    <row r="40" spans="1:3" s="179" customFormat="1" ht="12" customHeight="1" thickBot="1" x14ac:dyDescent="0.25">
      <c r="A40" s="13" t="s">
        <v>474</v>
      </c>
      <c r="B40" s="182" t="s">
        <v>204</v>
      </c>
      <c r="C40" s="113"/>
    </row>
    <row r="41" spans="1:3" s="179" customFormat="1" ht="12" customHeight="1" thickBot="1" x14ac:dyDescent="0.25">
      <c r="A41" s="17" t="s">
        <v>20</v>
      </c>
      <c r="B41" s="18" t="s">
        <v>390</v>
      </c>
      <c r="C41" s="110">
        <f>SUM(C42:C52)</f>
        <v>481000</v>
      </c>
    </row>
    <row r="42" spans="1:3" s="179" customFormat="1" ht="12" customHeight="1" x14ac:dyDescent="0.2">
      <c r="A42" s="12" t="s">
        <v>78</v>
      </c>
      <c r="B42" s="180" t="s">
        <v>207</v>
      </c>
      <c r="C42" s="112"/>
    </row>
    <row r="43" spans="1:3" s="179" customFormat="1" ht="12" customHeight="1" x14ac:dyDescent="0.2">
      <c r="A43" s="11" t="s">
        <v>79</v>
      </c>
      <c r="B43" s="181" t="s">
        <v>208</v>
      </c>
      <c r="C43" s="114"/>
    </row>
    <row r="44" spans="1:3" s="179" customFormat="1" ht="12" customHeight="1" x14ac:dyDescent="0.2">
      <c r="A44" s="11" t="s">
        <v>80</v>
      </c>
      <c r="B44" s="181" t="s">
        <v>209</v>
      </c>
      <c r="C44" s="114">
        <v>300000</v>
      </c>
    </row>
    <row r="45" spans="1:3" s="179" customFormat="1" ht="12" customHeight="1" x14ac:dyDescent="0.2">
      <c r="A45" s="11" t="s">
        <v>126</v>
      </c>
      <c r="B45" s="181" t="s">
        <v>210</v>
      </c>
      <c r="C45" s="1023"/>
    </row>
    <row r="46" spans="1:3" s="179" customFormat="1" ht="12" customHeight="1" x14ac:dyDescent="0.2">
      <c r="A46" s="11" t="s">
        <v>127</v>
      </c>
      <c r="B46" s="181" t="s">
        <v>211</v>
      </c>
      <c r="C46" s="1023"/>
    </row>
    <row r="47" spans="1:3" s="179" customFormat="1" ht="12" customHeight="1" x14ac:dyDescent="0.2">
      <c r="A47" s="11" t="s">
        <v>128</v>
      </c>
      <c r="B47" s="181" t="s">
        <v>212</v>
      </c>
      <c r="C47" s="114">
        <v>81000</v>
      </c>
    </row>
    <row r="48" spans="1:3" s="179" customFormat="1" ht="12" customHeight="1" x14ac:dyDescent="0.2">
      <c r="A48" s="11" t="s">
        <v>129</v>
      </c>
      <c r="B48" s="181" t="s">
        <v>213</v>
      </c>
      <c r="C48" s="1023"/>
    </row>
    <row r="49" spans="1:3" s="179" customFormat="1" ht="12" customHeight="1" x14ac:dyDescent="0.2">
      <c r="A49" s="11" t="s">
        <v>130</v>
      </c>
      <c r="B49" s="181" t="s">
        <v>477</v>
      </c>
      <c r="C49" s="1023"/>
    </row>
    <row r="50" spans="1:3" s="179" customFormat="1" ht="12" customHeight="1" x14ac:dyDescent="0.2">
      <c r="A50" s="11" t="s">
        <v>205</v>
      </c>
      <c r="B50" s="181" t="s">
        <v>215</v>
      </c>
      <c r="C50" s="1023"/>
    </row>
    <row r="51" spans="1:3" s="179" customFormat="1" ht="12" customHeight="1" x14ac:dyDescent="0.2">
      <c r="A51" s="13" t="s">
        <v>206</v>
      </c>
      <c r="B51" s="182" t="s">
        <v>391</v>
      </c>
      <c r="C51" s="1024"/>
    </row>
    <row r="52" spans="1:3" s="179" customFormat="1" ht="12" customHeight="1" thickBot="1" x14ac:dyDescent="0.25">
      <c r="A52" s="13" t="s">
        <v>392</v>
      </c>
      <c r="B52" s="107" t="s">
        <v>216</v>
      </c>
      <c r="C52" s="170">
        <v>100000</v>
      </c>
    </row>
    <row r="53" spans="1:3" s="179" customFormat="1" ht="1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" customHeight="1" x14ac:dyDescent="0.2">
      <c r="A54" s="12" t="s">
        <v>81</v>
      </c>
      <c r="B54" s="180" t="s">
        <v>221</v>
      </c>
      <c r="C54" s="214"/>
    </row>
    <row r="55" spans="1:3" s="179" customFormat="1" ht="12" customHeight="1" x14ac:dyDescent="0.2">
      <c r="A55" s="11" t="s">
        <v>82</v>
      </c>
      <c r="B55" s="181" t="s">
        <v>222</v>
      </c>
      <c r="C55" s="114"/>
    </row>
    <row r="56" spans="1:3" s="179" customFormat="1" ht="12" customHeight="1" x14ac:dyDescent="0.2">
      <c r="A56" s="11" t="s">
        <v>218</v>
      </c>
      <c r="B56" s="181" t="s">
        <v>223</v>
      </c>
      <c r="C56" s="114"/>
    </row>
    <row r="57" spans="1:3" s="179" customFormat="1" ht="12" customHeight="1" x14ac:dyDescent="0.2">
      <c r="A57" s="11" t="s">
        <v>219</v>
      </c>
      <c r="B57" s="181" t="s">
        <v>224</v>
      </c>
      <c r="C57" s="114"/>
    </row>
    <row r="58" spans="1:3" s="179" customFormat="1" ht="12" customHeight="1" thickBot="1" x14ac:dyDescent="0.25">
      <c r="A58" s="13" t="s">
        <v>220</v>
      </c>
      <c r="B58" s="107" t="s">
        <v>225</v>
      </c>
      <c r="C58" s="170"/>
    </row>
    <row r="59" spans="1:3" s="179" customFormat="1" ht="1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" customHeight="1" x14ac:dyDescent="0.2">
      <c r="A60" s="12" t="s">
        <v>83</v>
      </c>
      <c r="B60" s="180" t="s">
        <v>227</v>
      </c>
      <c r="C60" s="112"/>
    </row>
    <row r="61" spans="1:3" s="179" customFormat="1" ht="12" customHeight="1" x14ac:dyDescent="0.2">
      <c r="A61" s="11" t="s">
        <v>84</v>
      </c>
      <c r="B61" s="181" t="s">
        <v>356</v>
      </c>
      <c r="C61" s="111"/>
    </row>
    <row r="62" spans="1:3" s="179" customFormat="1" ht="12" customHeight="1" x14ac:dyDescent="0.2">
      <c r="A62" s="11" t="s">
        <v>230</v>
      </c>
      <c r="B62" s="181" t="s">
        <v>228</v>
      </c>
      <c r="C62" s="111"/>
    </row>
    <row r="63" spans="1:3" s="179" customFormat="1" ht="12" customHeight="1" thickBot="1" x14ac:dyDescent="0.25">
      <c r="A63" s="13" t="s">
        <v>231</v>
      </c>
      <c r="B63" s="107" t="s">
        <v>229</v>
      </c>
      <c r="C63" s="113"/>
    </row>
    <row r="64" spans="1:3" s="179" customFormat="1" ht="1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" customHeight="1" x14ac:dyDescent="0.2">
      <c r="A65" s="12" t="s">
        <v>132</v>
      </c>
      <c r="B65" s="180" t="s">
        <v>234</v>
      </c>
      <c r="C65" s="114"/>
    </row>
    <row r="66" spans="1:3" s="179" customFormat="1" ht="12" customHeight="1" x14ac:dyDescent="0.2">
      <c r="A66" s="11" t="s">
        <v>133</v>
      </c>
      <c r="B66" s="181" t="s">
        <v>357</v>
      </c>
      <c r="C66" s="114"/>
    </row>
    <row r="67" spans="1:3" s="179" customFormat="1" ht="12" customHeight="1" x14ac:dyDescent="0.2">
      <c r="A67" s="11" t="s">
        <v>158</v>
      </c>
      <c r="B67" s="181" t="s">
        <v>235</v>
      </c>
      <c r="C67" s="114"/>
    </row>
    <row r="68" spans="1:3" s="179" customFormat="1" ht="12" customHeight="1" thickBot="1" x14ac:dyDescent="0.25">
      <c r="A68" s="13" t="s">
        <v>233</v>
      </c>
      <c r="B68" s="107" t="s">
        <v>236</v>
      </c>
      <c r="C68" s="114"/>
    </row>
    <row r="69" spans="1:3" s="179" customFormat="1" ht="12" customHeight="1" thickBot="1" x14ac:dyDescent="0.25">
      <c r="A69" s="235" t="s">
        <v>393</v>
      </c>
      <c r="B69" s="18" t="s">
        <v>237</v>
      </c>
      <c r="C69" s="115">
        <f>+C11+C20+C27+C34+C41+C53+C59+C64</f>
        <v>481000</v>
      </c>
    </row>
    <row r="70" spans="1:3" s="179" customFormat="1" ht="12" customHeight="1" thickBot="1" x14ac:dyDescent="0.25">
      <c r="A70" s="236" t="s">
        <v>238</v>
      </c>
      <c r="B70" s="105" t="s">
        <v>239</v>
      </c>
      <c r="C70" s="110">
        <f>SUM(C71:C73)</f>
        <v>0</v>
      </c>
    </row>
    <row r="71" spans="1:3" s="179" customFormat="1" ht="12" customHeight="1" x14ac:dyDescent="0.2">
      <c r="A71" s="12" t="s">
        <v>270</v>
      </c>
      <c r="B71" s="180" t="s">
        <v>240</v>
      </c>
      <c r="C71" s="114"/>
    </row>
    <row r="72" spans="1:3" s="179" customFormat="1" ht="12" customHeight="1" x14ac:dyDescent="0.2">
      <c r="A72" s="11" t="s">
        <v>279</v>
      </c>
      <c r="B72" s="181" t="s">
        <v>241</v>
      </c>
      <c r="C72" s="114"/>
    </row>
    <row r="73" spans="1:3" s="179" customFormat="1" ht="12" customHeight="1" thickBot="1" x14ac:dyDescent="0.25">
      <c r="A73" s="13" t="s">
        <v>280</v>
      </c>
      <c r="B73" s="237" t="s">
        <v>394</v>
      </c>
      <c r="C73" s="114"/>
    </row>
    <row r="74" spans="1:3" s="179" customFormat="1" ht="12" customHeight="1" thickBot="1" x14ac:dyDescent="0.25">
      <c r="A74" s="236" t="s">
        <v>243</v>
      </c>
      <c r="B74" s="105" t="s">
        <v>244</v>
      </c>
      <c r="C74" s="110">
        <f>SUM(C75:C78)</f>
        <v>0</v>
      </c>
    </row>
    <row r="75" spans="1:3" s="179" customFormat="1" ht="12" customHeight="1" x14ac:dyDescent="0.2">
      <c r="A75" s="12" t="s">
        <v>112</v>
      </c>
      <c r="B75" s="180" t="s">
        <v>245</v>
      </c>
      <c r="C75" s="114"/>
    </row>
    <row r="76" spans="1:3" s="179" customFormat="1" ht="12" customHeight="1" x14ac:dyDescent="0.2">
      <c r="A76" s="11" t="s">
        <v>113</v>
      </c>
      <c r="B76" s="181" t="s">
        <v>745</v>
      </c>
      <c r="C76" s="114"/>
    </row>
    <row r="77" spans="1:3" s="179" customFormat="1" ht="12" customHeight="1" x14ac:dyDescent="0.2">
      <c r="A77" s="11" t="s">
        <v>271</v>
      </c>
      <c r="B77" s="181" t="s">
        <v>247</v>
      </c>
      <c r="C77" s="114"/>
    </row>
    <row r="78" spans="1:3" s="179" customFormat="1" ht="12" customHeight="1" thickBot="1" x14ac:dyDescent="0.25">
      <c r="A78" s="13" t="s">
        <v>272</v>
      </c>
      <c r="B78" s="107" t="s">
        <v>746</v>
      </c>
      <c r="C78" s="114"/>
    </row>
    <row r="79" spans="1:3" s="179" customFormat="1" ht="12" customHeight="1" thickBot="1" x14ac:dyDescent="0.25">
      <c r="A79" s="236" t="s">
        <v>249</v>
      </c>
      <c r="B79" s="105" t="s">
        <v>250</v>
      </c>
      <c r="C79" s="110">
        <f>SUM(C80:C81)</f>
        <v>0</v>
      </c>
    </row>
    <row r="80" spans="1:3" s="179" customFormat="1" ht="12" customHeight="1" x14ac:dyDescent="0.2">
      <c r="A80" s="12" t="s">
        <v>273</v>
      </c>
      <c r="B80" s="180" t="s">
        <v>251</v>
      </c>
      <c r="C80" s="114"/>
    </row>
    <row r="81" spans="1:3" s="179" customFormat="1" ht="12" customHeight="1" thickBot="1" x14ac:dyDescent="0.25">
      <c r="A81" s="13" t="s">
        <v>274</v>
      </c>
      <c r="B81" s="107" t="s">
        <v>252</v>
      </c>
      <c r="C81" s="114"/>
    </row>
    <row r="82" spans="1:3" s="179" customFormat="1" ht="12" customHeight="1" thickBot="1" x14ac:dyDescent="0.25">
      <c r="A82" s="236" t="s">
        <v>253</v>
      </c>
      <c r="B82" s="105" t="s">
        <v>254</v>
      </c>
      <c r="C82" s="110">
        <f>SUM(C83:C85)</f>
        <v>0</v>
      </c>
    </row>
    <row r="83" spans="1:3" s="179" customFormat="1" ht="12" customHeight="1" x14ac:dyDescent="0.2">
      <c r="A83" s="12" t="s">
        <v>275</v>
      </c>
      <c r="B83" s="180" t="s">
        <v>255</v>
      </c>
      <c r="C83" s="114"/>
    </row>
    <row r="84" spans="1:3" s="179" customFormat="1" ht="12" customHeight="1" x14ac:dyDescent="0.2">
      <c r="A84" s="11" t="s">
        <v>276</v>
      </c>
      <c r="B84" s="181" t="s">
        <v>256</v>
      </c>
      <c r="C84" s="114"/>
    </row>
    <row r="85" spans="1:3" s="179" customFormat="1" ht="12" customHeight="1" thickBot="1" x14ac:dyDescent="0.25">
      <c r="A85" s="13" t="s">
        <v>277</v>
      </c>
      <c r="B85" s="107" t="s">
        <v>747</v>
      </c>
      <c r="C85" s="114"/>
    </row>
    <row r="86" spans="1:3" s="179" customFormat="1" ht="12" customHeight="1" thickBot="1" x14ac:dyDescent="0.25">
      <c r="A86" s="236" t="s">
        <v>258</v>
      </c>
      <c r="B86" s="105" t="s">
        <v>278</v>
      </c>
      <c r="C86" s="110">
        <f>SUM(C87:C90)</f>
        <v>0</v>
      </c>
    </row>
    <row r="87" spans="1:3" s="179" customFormat="1" ht="12" customHeight="1" x14ac:dyDescent="0.2">
      <c r="A87" s="184" t="s">
        <v>259</v>
      </c>
      <c r="B87" s="180" t="s">
        <v>260</v>
      </c>
      <c r="C87" s="114"/>
    </row>
    <row r="88" spans="1:3" s="179" customFormat="1" ht="12" customHeight="1" x14ac:dyDescent="0.2">
      <c r="A88" s="185" t="s">
        <v>261</v>
      </c>
      <c r="B88" s="181" t="s">
        <v>262</v>
      </c>
      <c r="C88" s="114"/>
    </row>
    <row r="89" spans="1:3" s="179" customFormat="1" ht="12" customHeight="1" x14ac:dyDescent="0.2">
      <c r="A89" s="185" t="s">
        <v>263</v>
      </c>
      <c r="B89" s="181" t="s">
        <v>264</v>
      </c>
      <c r="C89" s="114"/>
    </row>
    <row r="90" spans="1:3" s="179" customFormat="1" ht="12" customHeight="1" thickBot="1" x14ac:dyDescent="0.25">
      <c r="A90" s="186" t="s">
        <v>265</v>
      </c>
      <c r="B90" s="107" t="s">
        <v>266</v>
      </c>
      <c r="C90" s="114"/>
    </row>
    <row r="91" spans="1:3" s="179" customFormat="1" ht="12" customHeight="1" thickBot="1" x14ac:dyDescent="0.25">
      <c r="A91" s="236" t="s">
        <v>267</v>
      </c>
      <c r="B91" s="105" t="s">
        <v>395</v>
      </c>
      <c r="C91" s="215"/>
    </row>
    <row r="92" spans="1:3" s="179" customFormat="1" ht="13.5" customHeight="1" thickBot="1" x14ac:dyDescent="0.25">
      <c r="A92" s="236" t="s">
        <v>269</v>
      </c>
      <c r="B92" s="105" t="s">
        <v>268</v>
      </c>
      <c r="C92" s="215"/>
    </row>
    <row r="93" spans="1:3" s="179" customFormat="1" ht="15.75" customHeight="1" thickBot="1" x14ac:dyDescent="0.25">
      <c r="A93" s="236" t="s">
        <v>281</v>
      </c>
      <c r="B93" s="187" t="s">
        <v>396</v>
      </c>
      <c r="C93" s="115">
        <f>+C70+C74+C79+C82+C86+C92+C91</f>
        <v>0</v>
      </c>
    </row>
    <row r="94" spans="1:3" s="179" customFormat="1" ht="16.5" customHeight="1" thickBot="1" x14ac:dyDescent="0.25">
      <c r="A94" s="238" t="s">
        <v>397</v>
      </c>
      <c r="B94" s="188" t="s">
        <v>398</v>
      </c>
      <c r="C94" s="115">
        <f>+C69+C93</f>
        <v>481000</v>
      </c>
    </row>
    <row r="95" spans="1:3" s="179" customFormat="1" ht="54" customHeight="1" x14ac:dyDescent="0.2">
      <c r="A95" s="2"/>
      <c r="B95" s="3"/>
      <c r="C95" s="116"/>
    </row>
    <row r="96" spans="1:3" ht="16.5" customHeight="1" x14ac:dyDescent="0.25">
      <c r="A96" s="1328" t="s">
        <v>44</v>
      </c>
      <c r="B96" s="1328"/>
      <c r="C96" s="1328"/>
    </row>
    <row r="97" spans="1:3" ht="16.5" customHeight="1" thickBot="1" x14ac:dyDescent="0.3">
      <c r="A97" s="1329" t="s">
        <v>115</v>
      </c>
      <c r="B97" s="1329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78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09">
        <f>C101+C102+C103+C104+C105+C118</f>
        <v>247753917</v>
      </c>
    </row>
    <row r="101" spans="1:3" ht="12" customHeight="1" x14ac:dyDescent="0.25">
      <c r="A101" s="14" t="s">
        <v>85</v>
      </c>
      <c r="B101" s="7" t="s">
        <v>46</v>
      </c>
      <c r="C101" s="1301">
        <f>190390633+1506000+780000+338355-4900000</f>
        <v>188114988</v>
      </c>
    </row>
    <row r="102" spans="1:3" ht="12" customHeight="1" x14ac:dyDescent="0.25">
      <c r="A102" s="11" t="s">
        <v>86</v>
      </c>
      <c r="B102" s="5" t="s">
        <v>134</v>
      </c>
      <c r="C102" s="1295">
        <f>32762395+101400+43965-5500000</f>
        <v>27407760</v>
      </c>
    </row>
    <row r="103" spans="1:3" ht="12" customHeight="1" x14ac:dyDescent="0.25">
      <c r="A103" s="11" t="s">
        <v>87</v>
      </c>
      <c r="B103" s="5" t="s">
        <v>110</v>
      </c>
      <c r="C103" s="1142">
        <f>33077669+140000+635000+1968500-3590000</f>
        <v>32231169</v>
      </c>
    </row>
    <row r="104" spans="1:3" ht="12" customHeight="1" x14ac:dyDescent="0.25">
      <c r="A104" s="11" t="s">
        <v>88</v>
      </c>
      <c r="B104" s="8" t="s">
        <v>135</v>
      </c>
      <c r="C104" s="170"/>
    </row>
    <row r="105" spans="1:3" ht="1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1"/>
    </row>
    <row r="107" spans="1:3" ht="12" customHeight="1" x14ac:dyDescent="0.25">
      <c r="A107" s="11" t="s">
        <v>90</v>
      </c>
      <c r="B107" s="60" t="s">
        <v>400</v>
      </c>
      <c r="C107" s="251"/>
    </row>
    <row r="108" spans="1:3" ht="12" customHeight="1" x14ac:dyDescent="0.25">
      <c r="A108" s="11" t="s">
        <v>100</v>
      </c>
      <c r="B108" s="60" t="s">
        <v>401</v>
      </c>
      <c r="C108" s="251"/>
    </row>
    <row r="109" spans="1:3" ht="12" customHeight="1" x14ac:dyDescent="0.25">
      <c r="A109" s="11" t="s">
        <v>101</v>
      </c>
      <c r="B109" s="58" t="s">
        <v>284</v>
      </c>
      <c r="C109" s="251"/>
    </row>
    <row r="110" spans="1:3" ht="12" customHeight="1" x14ac:dyDescent="0.25">
      <c r="A110" s="11" t="s">
        <v>102</v>
      </c>
      <c r="B110" s="59" t="s">
        <v>285</v>
      </c>
      <c r="C110" s="251"/>
    </row>
    <row r="111" spans="1:3" ht="12" customHeight="1" x14ac:dyDescent="0.25">
      <c r="A111" s="11" t="s">
        <v>103</v>
      </c>
      <c r="B111" s="59" t="s">
        <v>286</v>
      </c>
      <c r="C111" s="251"/>
    </row>
    <row r="112" spans="1:3" ht="12" customHeight="1" x14ac:dyDescent="0.25">
      <c r="A112" s="11" t="s">
        <v>105</v>
      </c>
      <c r="B112" s="58" t="s">
        <v>287</v>
      </c>
      <c r="C112" s="251"/>
    </row>
    <row r="113" spans="1:3" ht="12" customHeight="1" x14ac:dyDescent="0.25">
      <c r="A113" s="11" t="s">
        <v>137</v>
      </c>
      <c r="B113" s="58" t="s">
        <v>288</v>
      </c>
      <c r="C113" s="251"/>
    </row>
    <row r="114" spans="1:3" ht="12" customHeight="1" x14ac:dyDescent="0.25">
      <c r="A114" s="11" t="s">
        <v>282</v>
      </c>
      <c r="B114" s="59" t="s">
        <v>289</v>
      </c>
      <c r="C114" s="251"/>
    </row>
    <row r="115" spans="1:3" ht="12" customHeight="1" x14ac:dyDescent="0.25">
      <c r="A115" s="10" t="s">
        <v>283</v>
      </c>
      <c r="B115" s="60" t="s">
        <v>290</v>
      </c>
      <c r="C115" s="251"/>
    </row>
    <row r="116" spans="1:3" ht="12" customHeight="1" x14ac:dyDescent="0.25">
      <c r="A116" s="11" t="s">
        <v>402</v>
      </c>
      <c r="B116" s="60" t="s">
        <v>291</v>
      </c>
      <c r="C116" s="251"/>
    </row>
    <row r="117" spans="1:3" ht="12" customHeight="1" x14ac:dyDescent="0.25">
      <c r="A117" s="13" t="s">
        <v>403</v>
      </c>
      <c r="B117" s="60" t="s">
        <v>292</v>
      </c>
      <c r="C117" s="248"/>
    </row>
    <row r="118" spans="1:3" ht="12" customHeight="1" x14ac:dyDescent="0.25">
      <c r="A118" s="11" t="s">
        <v>404</v>
      </c>
      <c r="B118" s="8" t="s">
        <v>47</v>
      </c>
      <c r="C118" s="114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1"/>
    </row>
    <row r="120" spans="1:3" ht="12" customHeight="1" thickBot="1" x14ac:dyDescent="0.3">
      <c r="A120" s="15" t="s">
        <v>407</v>
      </c>
      <c r="B120" s="239" t="s">
        <v>408</v>
      </c>
      <c r="C120" s="117"/>
    </row>
    <row r="121" spans="1:3" ht="12" customHeight="1" thickBot="1" x14ac:dyDescent="0.3">
      <c r="A121" s="240" t="s">
        <v>17</v>
      </c>
      <c r="B121" s="241" t="s">
        <v>293</v>
      </c>
      <c r="C121" s="242">
        <f>+C122+C124+C126</f>
        <v>542671</v>
      </c>
    </row>
    <row r="122" spans="1:3" ht="12" customHeight="1" x14ac:dyDescent="0.25">
      <c r="A122" s="12" t="s">
        <v>91</v>
      </c>
      <c r="B122" s="5" t="s">
        <v>157</v>
      </c>
      <c r="C122" s="1290">
        <f>5015010-4472339</f>
        <v>542671</v>
      </c>
    </row>
    <row r="123" spans="1:3" ht="12" customHeight="1" x14ac:dyDescent="0.25">
      <c r="A123" s="12" t="s">
        <v>92</v>
      </c>
      <c r="B123" s="9" t="s">
        <v>297</v>
      </c>
      <c r="C123" s="214"/>
    </row>
    <row r="124" spans="1:3" ht="12" customHeight="1" x14ac:dyDescent="0.25">
      <c r="A124" s="12" t="s">
        <v>93</v>
      </c>
      <c r="B124" s="9" t="s">
        <v>138</v>
      </c>
      <c r="C124" s="114"/>
    </row>
    <row r="125" spans="1:3" ht="12" customHeight="1" x14ac:dyDescent="0.25">
      <c r="A125" s="12" t="s">
        <v>94</v>
      </c>
      <c r="B125" s="9" t="s">
        <v>298</v>
      </c>
      <c r="C125" s="248"/>
    </row>
    <row r="126" spans="1:3" ht="12" customHeight="1" x14ac:dyDescent="0.25">
      <c r="A126" s="12" t="s">
        <v>95</v>
      </c>
      <c r="B126" s="107" t="s">
        <v>159</v>
      </c>
      <c r="C126" s="248">
        <f>SUM(C127:C134)</f>
        <v>0</v>
      </c>
    </row>
    <row r="127" spans="1:3" ht="12" customHeight="1" x14ac:dyDescent="0.25">
      <c r="A127" s="12" t="s">
        <v>104</v>
      </c>
      <c r="B127" s="106" t="s">
        <v>358</v>
      </c>
      <c r="C127" s="248"/>
    </row>
    <row r="128" spans="1:3" ht="12" customHeight="1" x14ac:dyDescent="0.25">
      <c r="A128" s="12" t="s">
        <v>106</v>
      </c>
      <c r="B128" s="177" t="s">
        <v>303</v>
      </c>
      <c r="C128" s="248"/>
    </row>
    <row r="129" spans="1:3" x14ac:dyDescent="0.25">
      <c r="A129" s="12" t="s">
        <v>139</v>
      </c>
      <c r="B129" s="59" t="s">
        <v>286</v>
      </c>
      <c r="C129" s="248"/>
    </row>
    <row r="130" spans="1:3" ht="12" customHeight="1" x14ac:dyDescent="0.25">
      <c r="A130" s="12" t="s">
        <v>140</v>
      </c>
      <c r="B130" s="59" t="s">
        <v>302</v>
      </c>
      <c r="C130" s="248"/>
    </row>
    <row r="131" spans="1:3" ht="12" customHeight="1" x14ac:dyDescent="0.25">
      <c r="A131" s="12" t="s">
        <v>141</v>
      </c>
      <c r="B131" s="59" t="s">
        <v>301</v>
      </c>
      <c r="C131" s="248"/>
    </row>
    <row r="132" spans="1:3" ht="12" customHeight="1" x14ac:dyDescent="0.25">
      <c r="A132" s="12" t="s">
        <v>294</v>
      </c>
      <c r="B132" s="59" t="s">
        <v>289</v>
      </c>
      <c r="C132" s="248"/>
    </row>
    <row r="133" spans="1:3" ht="12" customHeight="1" x14ac:dyDescent="0.25">
      <c r="A133" s="12" t="s">
        <v>295</v>
      </c>
      <c r="B133" s="59" t="s">
        <v>300</v>
      </c>
      <c r="C133" s="248"/>
    </row>
    <row r="134" spans="1:3" ht="16.5" thickBot="1" x14ac:dyDescent="0.3">
      <c r="A134" s="10" t="s">
        <v>296</v>
      </c>
      <c r="B134" s="59" t="s">
        <v>299</v>
      </c>
      <c r="C134" s="251"/>
    </row>
    <row r="135" spans="1:3" ht="12" customHeight="1" thickBot="1" x14ac:dyDescent="0.3">
      <c r="A135" s="17" t="s">
        <v>18</v>
      </c>
      <c r="B135" s="54" t="s">
        <v>409</v>
      </c>
      <c r="C135" s="110">
        <f>+C100+C121</f>
        <v>248296588</v>
      </c>
    </row>
    <row r="136" spans="1:3" ht="12" customHeight="1" thickBot="1" x14ac:dyDescent="0.3">
      <c r="A136" s="17" t="s">
        <v>19</v>
      </c>
      <c r="B136" s="54" t="s">
        <v>410</v>
      </c>
      <c r="C136" s="110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99"/>
    </row>
    <row r="138" spans="1:3" ht="12" customHeight="1" x14ac:dyDescent="0.25">
      <c r="A138" s="12" t="s">
        <v>198</v>
      </c>
      <c r="B138" s="9" t="s">
        <v>412</v>
      </c>
      <c r="C138" s="99"/>
    </row>
    <row r="139" spans="1:3" ht="12" customHeight="1" thickBot="1" x14ac:dyDescent="0.3">
      <c r="A139" s="10" t="s">
        <v>199</v>
      </c>
      <c r="B139" s="9" t="s">
        <v>413</v>
      </c>
      <c r="C139" s="99"/>
    </row>
    <row r="140" spans="1:3" ht="12" customHeight="1" thickBot="1" x14ac:dyDescent="0.3">
      <c r="A140" s="17" t="s">
        <v>20</v>
      </c>
      <c r="B140" s="54" t="s">
        <v>414</v>
      </c>
      <c r="C140" s="110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99"/>
    </row>
    <row r="142" spans="1:3" ht="12" customHeight="1" x14ac:dyDescent="0.25">
      <c r="A142" s="12" t="s">
        <v>79</v>
      </c>
      <c r="B142" s="6" t="s">
        <v>416</v>
      </c>
      <c r="C142" s="99"/>
    </row>
    <row r="143" spans="1:3" ht="12" customHeight="1" x14ac:dyDescent="0.25">
      <c r="A143" s="12" t="s">
        <v>80</v>
      </c>
      <c r="B143" s="6" t="s">
        <v>417</v>
      </c>
      <c r="C143" s="99"/>
    </row>
    <row r="144" spans="1:3" ht="12" customHeight="1" x14ac:dyDescent="0.25">
      <c r="A144" s="12" t="s">
        <v>126</v>
      </c>
      <c r="B144" s="6" t="s">
        <v>418</v>
      </c>
      <c r="C144" s="99"/>
    </row>
    <row r="145" spans="1:6" ht="12" customHeight="1" x14ac:dyDescent="0.25">
      <c r="A145" s="12" t="s">
        <v>127</v>
      </c>
      <c r="B145" s="6" t="s">
        <v>419</v>
      </c>
      <c r="C145" s="99"/>
    </row>
    <row r="146" spans="1:6" ht="12" customHeight="1" thickBot="1" x14ac:dyDescent="0.3">
      <c r="A146" s="10" t="s">
        <v>128</v>
      </c>
      <c r="B146" s="6" t="s">
        <v>420</v>
      </c>
      <c r="C146" s="99"/>
    </row>
    <row r="147" spans="1:6" ht="12" customHeight="1" thickBot="1" x14ac:dyDescent="0.3">
      <c r="A147" s="17" t="s">
        <v>21</v>
      </c>
      <c r="B147" s="54" t="s">
        <v>421</v>
      </c>
      <c r="C147" s="115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99"/>
    </row>
    <row r="149" spans="1:6" ht="12" customHeight="1" x14ac:dyDescent="0.25">
      <c r="A149" s="12" t="s">
        <v>82</v>
      </c>
      <c r="B149" s="6" t="s">
        <v>305</v>
      </c>
      <c r="C149" s="99"/>
    </row>
    <row r="150" spans="1:6" ht="12" customHeight="1" x14ac:dyDescent="0.25">
      <c r="A150" s="12" t="s">
        <v>218</v>
      </c>
      <c r="B150" s="6" t="s">
        <v>422</v>
      </c>
      <c r="C150" s="99"/>
    </row>
    <row r="151" spans="1:6" ht="12" customHeight="1" thickBot="1" x14ac:dyDescent="0.3">
      <c r="A151" s="10" t="s">
        <v>219</v>
      </c>
      <c r="B151" s="4" t="s">
        <v>323</v>
      </c>
      <c r="C151" s="99"/>
    </row>
    <row r="152" spans="1:6" ht="12" customHeight="1" thickBot="1" x14ac:dyDescent="0.3">
      <c r="A152" s="17" t="s">
        <v>22</v>
      </c>
      <c r="B152" s="54" t="s">
        <v>423</v>
      </c>
      <c r="C152" s="118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99"/>
    </row>
    <row r="154" spans="1:6" ht="12" customHeight="1" x14ac:dyDescent="0.25">
      <c r="A154" s="12" t="s">
        <v>84</v>
      </c>
      <c r="B154" s="6" t="s">
        <v>425</v>
      </c>
      <c r="C154" s="99"/>
    </row>
    <row r="155" spans="1:6" ht="12" customHeight="1" x14ac:dyDescent="0.25">
      <c r="A155" s="12" t="s">
        <v>230</v>
      </c>
      <c r="B155" s="6" t="s">
        <v>426</v>
      </c>
      <c r="C155" s="99"/>
    </row>
    <row r="156" spans="1:6" ht="12" customHeight="1" x14ac:dyDescent="0.25">
      <c r="A156" s="12" t="s">
        <v>231</v>
      </c>
      <c r="B156" s="6" t="s">
        <v>427</v>
      </c>
      <c r="C156" s="99"/>
    </row>
    <row r="157" spans="1:6" ht="12" customHeight="1" thickBot="1" x14ac:dyDescent="0.3">
      <c r="A157" s="12" t="s">
        <v>428</v>
      </c>
      <c r="B157" s="6" t="s">
        <v>429</v>
      </c>
      <c r="C157" s="99"/>
    </row>
    <row r="158" spans="1:6" ht="12" customHeight="1" thickBot="1" x14ac:dyDescent="0.3">
      <c r="A158" s="17" t="s">
        <v>23</v>
      </c>
      <c r="B158" s="54" t="s">
        <v>430</v>
      </c>
      <c r="C158" s="243"/>
    </row>
    <row r="159" spans="1:6" ht="12" customHeight="1" thickBot="1" x14ac:dyDescent="0.3">
      <c r="A159" s="17" t="s">
        <v>24</v>
      </c>
      <c r="B159" s="54" t="s">
        <v>431</v>
      </c>
      <c r="C159" s="243"/>
    </row>
    <row r="160" spans="1:6" ht="15" customHeight="1" thickBot="1" x14ac:dyDescent="0.3">
      <c r="A160" s="17" t="s">
        <v>25</v>
      </c>
      <c r="B160" s="54" t="s">
        <v>432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433</v>
      </c>
      <c r="C161" s="189">
        <f>+C135+C160</f>
        <v>248296588</v>
      </c>
    </row>
    <row r="162" spans="1:3" ht="7.5" customHeight="1" x14ac:dyDescent="0.25"/>
    <row r="163" spans="1:3" x14ac:dyDescent="0.25">
      <c r="A163" s="1324" t="s">
        <v>306</v>
      </c>
      <c r="B163" s="1324"/>
      <c r="C163" s="1324"/>
    </row>
    <row r="164" spans="1:3" ht="15" customHeight="1" thickBot="1" x14ac:dyDescent="0.3">
      <c r="A164" s="1327" t="s">
        <v>116</v>
      </c>
      <c r="B164" s="1327"/>
      <c r="C164" s="119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0">
        <f>+C69-C135</f>
        <v>-247815588</v>
      </c>
    </row>
    <row r="166" spans="1:3" ht="21.75" thickBot="1" x14ac:dyDescent="0.3">
      <c r="A166" s="17" t="s">
        <v>17</v>
      </c>
      <c r="B166" s="22" t="s">
        <v>715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zoomScale="115" zoomScaleNormal="115" zoomScaleSheetLayoutView="100" workbookViewId="0">
      <selection activeCell="C16" sqref="C16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0" style="167" hidden="1" customWidth="1"/>
    <col min="10" max="16384" width="9.33203125" style="167"/>
  </cols>
  <sheetData>
    <row r="1" spans="1:3" x14ac:dyDescent="0.25">
      <c r="A1" s="1326" t="str">
        <f>CONCATENATE("5. melléklet"," ",ALAPADATOK!A7," ",ALAPADATOK!B7," ",ALAPADATOK!C7," ",ALAPADATOK!D7," ",ALAPADATOK!E7," ",ALAPADATOK!F7," ",ALAPADATOK!G7," ",ALAPADATOK!H7)</f>
        <v>5. melléklet az 5 / 2022. ( II.24. ) önkormányzati rendelethez</v>
      </c>
      <c r="B1" s="1326"/>
      <c r="C1" s="1326"/>
    </row>
    <row r="2" spans="1:3" x14ac:dyDescent="0.25">
      <c r="A2" s="612"/>
      <c r="B2" s="612"/>
      <c r="C2" s="612"/>
    </row>
    <row r="3" spans="1:3" x14ac:dyDescent="0.25">
      <c r="A3" s="1325" t="str">
        <f>CONCATENATE(ALAPADATOK!A3)</f>
        <v>Tiszavasvári Város Önkormányzat</v>
      </c>
      <c r="B3" s="1325"/>
      <c r="C3" s="1325"/>
    </row>
    <row r="4" spans="1:3" x14ac:dyDescent="0.25">
      <c r="A4" s="1324" t="str">
        <f>CONCATENATE(ALAPADATOK!D7," ÉVI KÖLTSÉGVETÉS")</f>
        <v>2022. ÉVI KÖLTSÉGVETÉS</v>
      </c>
      <c r="B4" s="1324"/>
      <c r="C4" s="1324"/>
    </row>
    <row r="5" spans="1:3" x14ac:dyDescent="0.25">
      <c r="A5" s="1324" t="s">
        <v>679</v>
      </c>
      <c r="B5" s="1324"/>
      <c r="C5" s="1324"/>
    </row>
    <row r="6" spans="1:3" x14ac:dyDescent="0.25">
      <c r="C6" s="168" t="s">
        <v>857</v>
      </c>
    </row>
    <row r="7" spans="1:3" ht="15.95" customHeight="1" x14ac:dyDescent="0.25">
      <c r="A7" s="1328" t="s">
        <v>13</v>
      </c>
      <c r="B7" s="1328"/>
      <c r="C7" s="1328"/>
    </row>
    <row r="8" spans="1:3" ht="15.95" customHeight="1" thickBot="1" x14ac:dyDescent="0.3">
      <c r="A8" s="1327" t="s">
        <v>114</v>
      </c>
      <c r="B8" s="1327"/>
      <c r="C8" s="119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944</v>
      </c>
    </row>
    <row r="10" spans="1:3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3" s="179" customFormat="1" ht="12" customHeight="1" thickBot="1" x14ac:dyDescent="0.25">
      <c r="A11" s="17" t="s">
        <v>16</v>
      </c>
      <c r="B11" s="18" t="s">
        <v>179</v>
      </c>
      <c r="C11" s="110">
        <f>+C12+C13+C16+C17+C18+C19</f>
        <v>0</v>
      </c>
    </row>
    <row r="12" spans="1:3" s="179" customFormat="1" ht="12" customHeight="1" x14ac:dyDescent="0.2">
      <c r="A12" s="12" t="s">
        <v>85</v>
      </c>
      <c r="B12" s="180" t="s">
        <v>180</v>
      </c>
      <c r="C12" s="112"/>
    </row>
    <row r="13" spans="1:3" s="179" customFormat="1" ht="12" customHeight="1" x14ac:dyDescent="0.2">
      <c r="A13" s="11" t="s">
        <v>86</v>
      </c>
      <c r="B13" s="181" t="s">
        <v>181</v>
      </c>
      <c r="C13" s="111"/>
    </row>
    <row r="14" spans="1:3" s="179" customFormat="1" ht="12" customHeight="1" x14ac:dyDescent="0.2">
      <c r="A14" s="11" t="s">
        <v>87</v>
      </c>
      <c r="B14" s="181" t="s">
        <v>719</v>
      </c>
      <c r="C14" s="111"/>
    </row>
    <row r="15" spans="1:3" s="179" customFormat="1" ht="12" customHeight="1" x14ac:dyDescent="0.2">
      <c r="A15" s="11" t="s">
        <v>717</v>
      </c>
      <c r="B15" s="181" t="s">
        <v>720</v>
      </c>
      <c r="C15" s="111"/>
    </row>
    <row r="16" spans="1:3" s="179" customFormat="1" ht="12" customHeight="1" x14ac:dyDescent="0.2">
      <c r="A16" s="11" t="s">
        <v>718</v>
      </c>
      <c r="B16" s="181" t="s">
        <v>721</v>
      </c>
      <c r="C16" s="111"/>
    </row>
    <row r="17" spans="1:3" s="179" customFormat="1" ht="12" customHeight="1" x14ac:dyDescent="0.2">
      <c r="A17" s="11" t="s">
        <v>88</v>
      </c>
      <c r="B17" s="181" t="s">
        <v>183</v>
      </c>
      <c r="C17" s="111"/>
    </row>
    <row r="18" spans="1:3" s="179" customFormat="1" ht="12" customHeight="1" x14ac:dyDescent="0.2">
      <c r="A18" s="11" t="s">
        <v>111</v>
      </c>
      <c r="B18" s="106" t="s">
        <v>388</v>
      </c>
      <c r="C18" s="111"/>
    </row>
    <row r="19" spans="1:3" s="179" customFormat="1" ht="12" customHeight="1" thickBot="1" x14ac:dyDescent="0.25">
      <c r="A19" s="13" t="s">
        <v>89</v>
      </c>
      <c r="B19" s="107" t="s">
        <v>389</v>
      </c>
      <c r="C19" s="111"/>
    </row>
    <row r="20" spans="1:3" s="179" customFormat="1" ht="1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" customHeight="1" x14ac:dyDescent="0.2">
      <c r="A21" s="12" t="s">
        <v>91</v>
      </c>
      <c r="B21" s="180" t="s">
        <v>185</v>
      </c>
      <c r="C21" s="112"/>
    </row>
    <row r="22" spans="1:3" s="179" customFormat="1" ht="12" customHeight="1" x14ac:dyDescent="0.2">
      <c r="A22" s="11" t="s">
        <v>92</v>
      </c>
      <c r="B22" s="181" t="s">
        <v>186</v>
      </c>
      <c r="C22" s="111"/>
    </row>
    <row r="23" spans="1:3" s="179" customFormat="1" ht="12" customHeight="1" x14ac:dyDescent="0.2">
      <c r="A23" s="11" t="s">
        <v>93</v>
      </c>
      <c r="B23" s="181" t="s">
        <v>352</v>
      </c>
      <c r="C23" s="111"/>
    </row>
    <row r="24" spans="1:3" s="179" customFormat="1" ht="12" customHeight="1" x14ac:dyDescent="0.2">
      <c r="A24" s="11" t="s">
        <v>94</v>
      </c>
      <c r="B24" s="181" t="s">
        <v>353</v>
      </c>
      <c r="C24" s="111"/>
    </row>
    <row r="25" spans="1:3" s="179" customFormat="1" ht="12" customHeight="1" x14ac:dyDescent="0.2">
      <c r="A25" s="11" t="s">
        <v>95</v>
      </c>
      <c r="B25" s="181" t="s">
        <v>187</v>
      </c>
      <c r="C25" s="111"/>
    </row>
    <row r="26" spans="1:3" s="179" customFormat="1" ht="12" customHeight="1" thickBot="1" x14ac:dyDescent="0.25">
      <c r="A26" s="13" t="s">
        <v>104</v>
      </c>
      <c r="B26" s="107" t="s">
        <v>188</v>
      </c>
      <c r="C26" s="113"/>
    </row>
    <row r="27" spans="1:3" s="179" customFormat="1" ht="1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" customHeight="1" x14ac:dyDescent="0.2">
      <c r="A28" s="12" t="s">
        <v>74</v>
      </c>
      <c r="B28" s="180" t="s">
        <v>190</v>
      </c>
      <c r="C28" s="112"/>
    </row>
    <row r="29" spans="1:3" s="179" customFormat="1" ht="12" customHeight="1" x14ac:dyDescent="0.2">
      <c r="A29" s="11" t="s">
        <v>75</v>
      </c>
      <c r="B29" s="181" t="s">
        <v>191</v>
      </c>
      <c r="C29" s="111"/>
    </row>
    <row r="30" spans="1:3" s="179" customFormat="1" ht="12" customHeight="1" x14ac:dyDescent="0.2">
      <c r="A30" s="11" t="s">
        <v>76</v>
      </c>
      <c r="B30" s="181" t="s">
        <v>354</v>
      </c>
      <c r="C30" s="111"/>
    </row>
    <row r="31" spans="1:3" s="179" customFormat="1" ht="12" customHeight="1" x14ac:dyDescent="0.2">
      <c r="A31" s="11" t="s">
        <v>77</v>
      </c>
      <c r="B31" s="181" t="s">
        <v>355</v>
      </c>
      <c r="C31" s="111"/>
    </row>
    <row r="32" spans="1:3" s="179" customFormat="1" ht="12" customHeight="1" x14ac:dyDescent="0.2">
      <c r="A32" s="11" t="s">
        <v>122</v>
      </c>
      <c r="B32" s="181" t="s">
        <v>192</v>
      </c>
      <c r="C32" s="111"/>
    </row>
    <row r="33" spans="1:3" s="179" customFormat="1" ht="12" customHeight="1" thickBot="1" x14ac:dyDescent="0.25">
      <c r="A33" s="13" t="s">
        <v>123</v>
      </c>
      <c r="B33" s="182" t="s">
        <v>193</v>
      </c>
      <c r="C33" s="113"/>
    </row>
    <row r="34" spans="1:3" s="179" customFormat="1" ht="1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" customHeight="1" x14ac:dyDescent="0.2">
      <c r="A35" s="12" t="s">
        <v>195</v>
      </c>
      <c r="B35" s="180" t="s">
        <v>562</v>
      </c>
      <c r="C35" s="176">
        <f>C36+C37</f>
        <v>0</v>
      </c>
    </row>
    <row r="36" spans="1:3" s="179" customFormat="1" ht="12" customHeight="1" x14ac:dyDescent="0.2">
      <c r="A36" s="11" t="s">
        <v>196</v>
      </c>
      <c r="B36" s="181" t="s">
        <v>201</v>
      </c>
      <c r="C36" s="111"/>
    </row>
    <row r="37" spans="1:3" s="179" customFormat="1" ht="12" customHeight="1" x14ac:dyDescent="0.2">
      <c r="A37" s="11" t="s">
        <v>197</v>
      </c>
      <c r="B37" s="234" t="s">
        <v>561</v>
      </c>
      <c r="C37" s="111"/>
    </row>
    <row r="38" spans="1:3" s="179" customFormat="1" ht="12" customHeight="1" x14ac:dyDescent="0.2">
      <c r="A38" s="11" t="s">
        <v>198</v>
      </c>
      <c r="B38" s="181" t="s">
        <v>472</v>
      </c>
      <c r="C38" s="111"/>
    </row>
    <row r="39" spans="1:3" s="179" customFormat="1" ht="12" customHeight="1" x14ac:dyDescent="0.2">
      <c r="A39" s="11" t="s">
        <v>200</v>
      </c>
      <c r="B39" s="181" t="s">
        <v>203</v>
      </c>
      <c r="C39" s="111"/>
    </row>
    <row r="40" spans="1:3" s="179" customFormat="1" ht="12" customHeight="1" thickBot="1" x14ac:dyDescent="0.25">
      <c r="A40" s="13" t="s">
        <v>474</v>
      </c>
      <c r="B40" s="182" t="s">
        <v>204</v>
      </c>
      <c r="C40" s="113"/>
    </row>
    <row r="41" spans="1:3" s="179" customFormat="1" ht="12" customHeight="1" thickBot="1" x14ac:dyDescent="0.25">
      <c r="A41" s="17" t="s">
        <v>20</v>
      </c>
      <c r="B41" s="18" t="s">
        <v>390</v>
      </c>
      <c r="C41" s="110">
        <f>SUM(C42:C52)</f>
        <v>0</v>
      </c>
    </row>
    <row r="42" spans="1:3" s="179" customFormat="1" ht="12" customHeight="1" x14ac:dyDescent="0.2">
      <c r="A42" s="12" t="s">
        <v>78</v>
      </c>
      <c r="B42" s="180" t="s">
        <v>207</v>
      </c>
      <c r="C42" s="112"/>
    </row>
    <row r="43" spans="1:3" s="179" customFormat="1" ht="12" customHeight="1" x14ac:dyDescent="0.2">
      <c r="A43" s="11" t="s">
        <v>79</v>
      </c>
      <c r="B43" s="181" t="s">
        <v>208</v>
      </c>
      <c r="C43" s="114"/>
    </row>
    <row r="44" spans="1:3" s="179" customFormat="1" ht="12" customHeight="1" x14ac:dyDescent="0.2">
      <c r="A44" s="11" t="s">
        <v>80</v>
      </c>
      <c r="B44" s="181" t="s">
        <v>209</v>
      </c>
      <c r="C44" s="114"/>
    </row>
    <row r="45" spans="1:3" s="179" customFormat="1" ht="12" customHeight="1" x14ac:dyDescent="0.2">
      <c r="A45" s="11" t="s">
        <v>126</v>
      </c>
      <c r="B45" s="181" t="s">
        <v>210</v>
      </c>
      <c r="C45" s="114"/>
    </row>
    <row r="46" spans="1:3" s="179" customFormat="1" ht="12" customHeight="1" x14ac:dyDescent="0.2">
      <c r="A46" s="11" t="s">
        <v>127</v>
      </c>
      <c r="B46" s="181" t="s">
        <v>211</v>
      </c>
      <c r="C46" s="114"/>
    </row>
    <row r="47" spans="1:3" s="179" customFormat="1" ht="12" customHeight="1" x14ac:dyDescent="0.2">
      <c r="A47" s="11" t="s">
        <v>128</v>
      </c>
      <c r="B47" s="181" t="s">
        <v>212</v>
      </c>
      <c r="C47" s="114"/>
    </row>
    <row r="48" spans="1:3" s="179" customFormat="1" ht="12" customHeight="1" x14ac:dyDescent="0.2">
      <c r="A48" s="11" t="s">
        <v>129</v>
      </c>
      <c r="B48" s="181" t="s">
        <v>213</v>
      </c>
      <c r="C48" s="114"/>
    </row>
    <row r="49" spans="1:3" s="179" customFormat="1" ht="12" customHeight="1" x14ac:dyDescent="0.2">
      <c r="A49" s="11" t="s">
        <v>130</v>
      </c>
      <c r="B49" s="181" t="s">
        <v>477</v>
      </c>
      <c r="C49" s="114"/>
    </row>
    <row r="50" spans="1:3" s="179" customFormat="1" ht="12" customHeight="1" x14ac:dyDescent="0.2">
      <c r="A50" s="11" t="s">
        <v>205</v>
      </c>
      <c r="B50" s="181" t="s">
        <v>215</v>
      </c>
      <c r="C50" s="114"/>
    </row>
    <row r="51" spans="1:3" s="179" customFormat="1" ht="12" customHeight="1" x14ac:dyDescent="0.2">
      <c r="A51" s="13" t="s">
        <v>206</v>
      </c>
      <c r="B51" s="182" t="s">
        <v>391</v>
      </c>
      <c r="C51" s="170"/>
    </row>
    <row r="52" spans="1:3" s="179" customFormat="1" ht="12" customHeight="1" thickBot="1" x14ac:dyDescent="0.25">
      <c r="A52" s="13" t="s">
        <v>392</v>
      </c>
      <c r="B52" s="107" t="s">
        <v>216</v>
      </c>
      <c r="C52" s="170"/>
    </row>
    <row r="53" spans="1:3" s="179" customFormat="1" ht="1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" customHeight="1" x14ac:dyDescent="0.2">
      <c r="A54" s="12" t="s">
        <v>81</v>
      </c>
      <c r="B54" s="180" t="s">
        <v>221</v>
      </c>
      <c r="C54" s="214"/>
    </row>
    <row r="55" spans="1:3" s="179" customFormat="1" ht="12" customHeight="1" x14ac:dyDescent="0.2">
      <c r="A55" s="11" t="s">
        <v>82</v>
      </c>
      <c r="B55" s="181" t="s">
        <v>222</v>
      </c>
      <c r="C55" s="114"/>
    </row>
    <row r="56" spans="1:3" s="179" customFormat="1" ht="12" customHeight="1" x14ac:dyDescent="0.2">
      <c r="A56" s="11" t="s">
        <v>218</v>
      </c>
      <c r="B56" s="181" t="s">
        <v>223</v>
      </c>
      <c r="C56" s="114"/>
    </row>
    <row r="57" spans="1:3" s="179" customFormat="1" ht="12" customHeight="1" x14ac:dyDescent="0.2">
      <c r="A57" s="11" t="s">
        <v>219</v>
      </c>
      <c r="B57" s="181" t="s">
        <v>224</v>
      </c>
      <c r="C57" s="114"/>
    </row>
    <row r="58" spans="1:3" s="179" customFormat="1" ht="12" customHeight="1" thickBot="1" x14ac:dyDescent="0.25">
      <c r="A58" s="13" t="s">
        <v>220</v>
      </c>
      <c r="B58" s="107" t="s">
        <v>225</v>
      </c>
      <c r="C58" s="170"/>
    </row>
    <row r="59" spans="1:3" s="179" customFormat="1" ht="1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" customHeight="1" x14ac:dyDescent="0.2">
      <c r="A60" s="12" t="s">
        <v>83</v>
      </c>
      <c r="B60" s="180" t="s">
        <v>227</v>
      </c>
      <c r="C60" s="112"/>
    </row>
    <row r="61" spans="1:3" s="179" customFormat="1" ht="12" customHeight="1" x14ac:dyDescent="0.2">
      <c r="A61" s="11" t="s">
        <v>84</v>
      </c>
      <c r="B61" s="181" t="s">
        <v>356</v>
      </c>
      <c r="C61" s="111"/>
    </row>
    <row r="62" spans="1:3" s="179" customFormat="1" ht="12" customHeight="1" x14ac:dyDescent="0.2">
      <c r="A62" s="11" t="s">
        <v>230</v>
      </c>
      <c r="B62" s="181" t="s">
        <v>228</v>
      </c>
      <c r="C62" s="111"/>
    </row>
    <row r="63" spans="1:3" s="179" customFormat="1" ht="12" customHeight="1" thickBot="1" x14ac:dyDescent="0.25">
      <c r="A63" s="13" t="s">
        <v>231</v>
      </c>
      <c r="B63" s="107" t="s">
        <v>229</v>
      </c>
      <c r="C63" s="113"/>
    </row>
    <row r="64" spans="1:3" s="179" customFormat="1" ht="1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" customHeight="1" x14ac:dyDescent="0.2">
      <c r="A65" s="12" t="s">
        <v>132</v>
      </c>
      <c r="B65" s="180" t="s">
        <v>234</v>
      </c>
      <c r="C65" s="114"/>
    </row>
    <row r="66" spans="1:3" s="179" customFormat="1" ht="12" customHeight="1" x14ac:dyDescent="0.2">
      <c r="A66" s="11" t="s">
        <v>133</v>
      </c>
      <c r="B66" s="181" t="s">
        <v>357</v>
      </c>
      <c r="C66" s="114"/>
    </row>
    <row r="67" spans="1:3" s="179" customFormat="1" ht="12" customHeight="1" x14ac:dyDescent="0.2">
      <c r="A67" s="11" t="s">
        <v>158</v>
      </c>
      <c r="B67" s="181" t="s">
        <v>235</v>
      </c>
      <c r="C67" s="114"/>
    </row>
    <row r="68" spans="1:3" s="179" customFormat="1" ht="12" customHeight="1" thickBot="1" x14ac:dyDescent="0.25">
      <c r="A68" s="13" t="s">
        <v>233</v>
      </c>
      <c r="B68" s="107" t="s">
        <v>236</v>
      </c>
      <c r="C68" s="114"/>
    </row>
    <row r="69" spans="1:3" s="179" customFormat="1" ht="12" customHeight="1" thickBot="1" x14ac:dyDescent="0.25">
      <c r="A69" s="235" t="s">
        <v>393</v>
      </c>
      <c r="B69" s="18" t="s">
        <v>237</v>
      </c>
      <c r="C69" s="115">
        <f>+C11+C20+C27+C34+C41+C53+C59+C64</f>
        <v>0</v>
      </c>
    </row>
    <row r="70" spans="1:3" s="179" customFormat="1" ht="12" customHeight="1" thickBot="1" x14ac:dyDescent="0.25">
      <c r="A70" s="236" t="s">
        <v>238</v>
      </c>
      <c r="B70" s="105" t="s">
        <v>239</v>
      </c>
      <c r="C70" s="110">
        <f>SUM(C71:C73)</f>
        <v>0</v>
      </c>
    </row>
    <row r="71" spans="1:3" s="179" customFormat="1" ht="12" customHeight="1" x14ac:dyDescent="0.2">
      <c r="A71" s="12" t="s">
        <v>270</v>
      </c>
      <c r="B71" s="180" t="s">
        <v>240</v>
      </c>
      <c r="C71" s="114"/>
    </row>
    <row r="72" spans="1:3" s="179" customFormat="1" ht="12" customHeight="1" x14ac:dyDescent="0.2">
      <c r="A72" s="11" t="s">
        <v>279</v>
      </c>
      <c r="B72" s="181" t="s">
        <v>241</v>
      </c>
      <c r="C72" s="114"/>
    </row>
    <row r="73" spans="1:3" s="179" customFormat="1" ht="12" customHeight="1" thickBot="1" x14ac:dyDescent="0.25">
      <c r="A73" s="13" t="s">
        <v>280</v>
      </c>
      <c r="B73" s="237" t="s">
        <v>394</v>
      </c>
      <c r="C73" s="114"/>
    </row>
    <row r="74" spans="1:3" s="179" customFormat="1" ht="12" customHeight="1" thickBot="1" x14ac:dyDescent="0.25">
      <c r="A74" s="236" t="s">
        <v>243</v>
      </c>
      <c r="B74" s="105" t="s">
        <v>244</v>
      </c>
      <c r="C74" s="110">
        <f>SUM(C75:C78)</f>
        <v>0</v>
      </c>
    </row>
    <row r="75" spans="1:3" s="179" customFormat="1" ht="12" customHeight="1" x14ac:dyDescent="0.2">
      <c r="A75" s="12" t="s">
        <v>112</v>
      </c>
      <c r="B75" s="180" t="s">
        <v>245</v>
      </c>
      <c r="C75" s="114"/>
    </row>
    <row r="76" spans="1:3" s="179" customFormat="1" ht="12" customHeight="1" x14ac:dyDescent="0.2">
      <c r="A76" s="11" t="s">
        <v>113</v>
      </c>
      <c r="B76" s="181" t="s">
        <v>745</v>
      </c>
      <c r="C76" s="114"/>
    </row>
    <row r="77" spans="1:3" s="179" customFormat="1" ht="12" customHeight="1" x14ac:dyDescent="0.2">
      <c r="A77" s="11" t="s">
        <v>271</v>
      </c>
      <c r="B77" s="181" t="s">
        <v>247</v>
      </c>
      <c r="C77" s="114"/>
    </row>
    <row r="78" spans="1:3" s="179" customFormat="1" ht="12" customHeight="1" thickBot="1" x14ac:dyDescent="0.25">
      <c r="A78" s="13" t="s">
        <v>272</v>
      </c>
      <c r="B78" s="107" t="s">
        <v>746</v>
      </c>
      <c r="C78" s="114"/>
    </row>
    <row r="79" spans="1:3" s="179" customFormat="1" ht="12" customHeight="1" thickBot="1" x14ac:dyDescent="0.25">
      <c r="A79" s="236" t="s">
        <v>249</v>
      </c>
      <c r="B79" s="105" t="s">
        <v>250</v>
      </c>
      <c r="C79" s="110">
        <f>SUM(C80:C81)</f>
        <v>0</v>
      </c>
    </row>
    <row r="80" spans="1:3" s="179" customFormat="1" ht="12" customHeight="1" x14ac:dyDescent="0.2">
      <c r="A80" s="12" t="s">
        <v>273</v>
      </c>
      <c r="B80" s="180" t="s">
        <v>251</v>
      </c>
      <c r="C80" s="114"/>
    </row>
    <row r="81" spans="1:3" s="179" customFormat="1" ht="12" customHeight="1" thickBot="1" x14ac:dyDescent="0.25">
      <c r="A81" s="13" t="s">
        <v>274</v>
      </c>
      <c r="B81" s="107" t="s">
        <v>252</v>
      </c>
      <c r="C81" s="114"/>
    </row>
    <row r="82" spans="1:3" s="179" customFormat="1" ht="12" customHeight="1" thickBot="1" x14ac:dyDescent="0.25">
      <c r="A82" s="236" t="s">
        <v>253</v>
      </c>
      <c r="B82" s="105" t="s">
        <v>254</v>
      </c>
      <c r="C82" s="110">
        <f>SUM(C83:C85)</f>
        <v>0</v>
      </c>
    </row>
    <row r="83" spans="1:3" s="179" customFormat="1" ht="12" customHeight="1" x14ac:dyDescent="0.2">
      <c r="A83" s="12" t="s">
        <v>275</v>
      </c>
      <c r="B83" s="180" t="s">
        <v>255</v>
      </c>
      <c r="C83" s="114"/>
    </row>
    <row r="84" spans="1:3" s="179" customFormat="1" ht="12" customHeight="1" x14ac:dyDescent="0.2">
      <c r="A84" s="11" t="s">
        <v>276</v>
      </c>
      <c r="B84" s="181" t="s">
        <v>256</v>
      </c>
      <c r="C84" s="114"/>
    </row>
    <row r="85" spans="1:3" s="179" customFormat="1" ht="12" customHeight="1" thickBot="1" x14ac:dyDescent="0.25">
      <c r="A85" s="13" t="s">
        <v>277</v>
      </c>
      <c r="B85" s="107" t="s">
        <v>747</v>
      </c>
      <c r="C85" s="114"/>
    </row>
    <row r="86" spans="1:3" s="179" customFormat="1" ht="12" customHeight="1" thickBot="1" x14ac:dyDescent="0.25">
      <c r="A86" s="236" t="s">
        <v>258</v>
      </c>
      <c r="B86" s="105" t="s">
        <v>278</v>
      </c>
      <c r="C86" s="110">
        <f>SUM(C87:C90)</f>
        <v>0</v>
      </c>
    </row>
    <row r="87" spans="1:3" s="179" customFormat="1" ht="12" customHeight="1" x14ac:dyDescent="0.2">
      <c r="A87" s="184" t="s">
        <v>259</v>
      </c>
      <c r="B87" s="180" t="s">
        <v>260</v>
      </c>
      <c r="C87" s="114"/>
    </row>
    <row r="88" spans="1:3" s="179" customFormat="1" ht="12" customHeight="1" x14ac:dyDescent="0.2">
      <c r="A88" s="185" t="s">
        <v>261</v>
      </c>
      <c r="B88" s="181" t="s">
        <v>262</v>
      </c>
      <c r="C88" s="114"/>
    </row>
    <row r="89" spans="1:3" s="179" customFormat="1" ht="12" customHeight="1" x14ac:dyDescent="0.2">
      <c r="A89" s="185" t="s">
        <v>263</v>
      </c>
      <c r="B89" s="181" t="s">
        <v>264</v>
      </c>
      <c r="C89" s="114"/>
    </row>
    <row r="90" spans="1:3" s="179" customFormat="1" ht="12" customHeight="1" thickBot="1" x14ac:dyDescent="0.25">
      <c r="A90" s="186" t="s">
        <v>265</v>
      </c>
      <c r="B90" s="107" t="s">
        <v>266</v>
      </c>
      <c r="C90" s="114"/>
    </row>
    <row r="91" spans="1:3" s="179" customFormat="1" ht="12" customHeight="1" thickBot="1" x14ac:dyDescent="0.25">
      <c r="A91" s="236" t="s">
        <v>267</v>
      </c>
      <c r="B91" s="105" t="s">
        <v>395</v>
      </c>
      <c r="C91" s="215"/>
    </row>
    <row r="92" spans="1:3" s="179" customFormat="1" ht="13.5" customHeight="1" thickBot="1" x14ac:dyDescent="0.25">
      <c r="A92" s="236" t="s">
        <v>269</v>
      </c>
      <c r="B92" s="105" t="s">
        <v>268</v>
      </c>
      <c r="C92" s="215"/>
    </row>
    <row r="93" spans="1:3" s="179" customFormat="1" ht="15.75" customHeight="1" thickBot="1" x14ac:dyDescent="0.25">
      <c r="A93" s="236" t="s">
        <v>281</v>
      </c>
      <c r="B93" s="187" t="s">
        <v>396</v>
      </c>
      <c r="C93" s="115">
        <f>+C70+C74+C79+C82+C86+C92+C91</f>
        <v>0</v>
      </c>
    </row>
    <row r="94" spans="1:3" s="179" customFormat="1" ht="16.5" customHeight="1" thickBot="1" x14ac:dyDescent="0.25">
      <c r="A94" s="238" t="s">
        <v>397</v>
      </c>
      <c r="B94" s="188" t="s">
        <v>398</v>
      </c>
      <c r="C94" s="115">
        <f>+C69+C93</f>
        <v>0</v>
      </c>
    </row>
    <row r="95" spans="1:3" s="179" customFormat="1" ht="83.25" customHeight="1" x14ac:dyDescent="0.2">
      <c r="A95" s="2"/>
      <c r="B95" s="3"/>
      <c r="C95" s="116"/>
    </row>
    <row r="96" spans="1:3" ht="16.5" customHeight="1" x14ac:dyDescent="0.25">
      <c r="A96" s="1328" t="s">
        <v>44</v>
      </c>
      <c r="B96" s="1328"/>
      <c r="C96" s="1328"/>
    </row>
    <row r="97" spans="1:3" ht="16.5" customHeight="1" thickBot="1" x14ac:dyDescent="0.3">
      <c r="A97" s="1329" t="s">
        <v>115</v>
      </c>
      <c r="B97" s="1329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78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09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53"/>
    </row>
    <row r="102" spans="1:3" ht="12" customHeight="1" x14ac:dyDescent="0.25">
      <c r="A102" s="11" t="s">
        <v>86</v>
      </c>
      <c r="B102" s="5" t="s">
        <v>134</v>
      </c>
      <c r="C102" s="114"/>
    </row>
    <row r="103" spans="1:3" ht="12" customHeight="1" x14ac:dyDescent="0.25">
      <c r="A103" s="11" t="s">
        <v>87</v>
      </c>
      <c r="B103" s="5" t="s">
        <v>110</v>
      </c>
      <c r="C103" s="170"/>
    </row>
    <row r="104" spans="1:3" ht="12" customHeight="1" x14ac:dyDescent="0.25">
      <c r="A104" s="11" t="s">
        <v>88</v>
      </c>
      <c r="B104" s="8" t="s">
        <v>135</v>
      </c>
      <c r="C104" s="170"/>
    </row>
    <row r="105" spans="1:3" ht="1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1"/>
    </row>
    <row r="107" spans="1:3" ht="12" customHeight="1" x14ac:dyDescent="0.25">
      <c r="A107" s="11" t="s">
        <v>90</v>
      </c>
      <c r="B107" s="60" t="s">
        <v>400</v>
      </c>
      <c r="C107" s="251"/>
    </row>
    <row r="108" spans="1:3" ht="12" customHeight="1" x14ac:dyDescent="0.25">
      <c r="A108" s="11" t="s">
        <v>100</v>
      </c>
      <c r="B108" s="60" t="s">
        <v>401</v>
      </c>
      <c r="C108" s="251"/>
    </row>
    <row r="109" spans="1:3" ht="12" customHeight="1" x14ac:dyDescent="0.25">
      <c r="A109" s="11" t="s">
        <v>101</v>
      </c>
      <c r="B109" s="58" t="s">
        <v>284</v>
      </c>
      <c r="C109" s="251"/>
    </row>
    <row r="110" spans="1:3" ht="12" customHeight="1" x14ac:dyDescent="0.25">
      <c r="A110" s="11" t="s">
        <v>102</v>
      </c>
      <c r="B110" s="59" t="s">
        <v>285</v>
      </c>
      <c r="C110" s="251"/>
    </row>
    <row r="111" spans="1:3" ht="12" customHeight="1" x14ac:dyDescent="0.25">
      <c r="A111" s="11" t="s">
        <v>103</v>
      </c>
      <c r="B111" s="59" t="s">
        <v>286</v>
      </c>
      <c r="C111" s="251"/>
    </row>
    <row r="112" spans="1:3" ht="12" customHeight="1" x14ac:dyDescent="0.25">
      <c r="A112" s="11" t="s">
        <v>105</v>
      </c>
      <c r="B112" s="58" t="s">
        <v>287</v>
      </c>
      <c r="C112" s="251"/>
    </row>
    <row r="113" spans="1:3" ht="12" customHeight="1" x14ac:dyDescent="0.25">
      <c r="A113" s="11" t="s">
        <v>137</v>
      </c>
      <c r="B113" s="58" t="s">
        <v>288</v>
      </c>
      <c r="C113" s="251"/>
    </row>
    <row r="114" spans="1:3" ht="12" customHeight="1" x14ac:dyDescent="0.25">
      <c r="A114" s="11" t="s">
        <v>282</v>
      </c>
      <c r="B114" s="59" t="s">
        <v>289</v>
      </c>
      <c r="C114" s="251"/>
    </row>
    <row r="115" spans="1:3" ht="12" customHeight="1" x14ac:dyDescent="0.25">
      <c r="A115" s="10" t="s">
        <v>283</v>
      </c>
      <c r="B115" s="60" t="s">
        <v>290</v>
      </c>
      <c r="C115" s="251"/>
    </row>
    <row r="116" spans="1:3" ht="12" customHeight="1" x14ac:dyDescent="0.25">
      <c r="A116" s="11" t="s">
        <v>402</v>
      </c>
      <c r="B116" s="60" t="s">
        <v>291</v>
      </c>
      <c r="C116" s="251"/>
    </row>
    <row r="117" spans="1:3" ht="12" customHeight="1" x14ac:dyDescent="0.25">
      <c r="A117" s="13" t="s">
        <v>403</v>
      </c>
      <c r="B117" s="60" t="s">
        <v>292</v>
      </c>
      <c r="C117" s="248"/>
    </row>
    <row r="118" spans="1:3" ht="12" customHeight="1" x14ac:dyDescent="0.25">
      <c r="A118" s="11" t="s">
        <v>404</v>
      </c>
      <c r="B118" s="8" t="s">
        <v>47</v>
      </c>
      <c r="C118" s="114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1"/>
    </row>
    <row r="120" spans="1:3" ht="12" customHeight="1" thickBot="1" x14ac:dyDescent="0.3">
      <c r="A120" s="15" t="s">
        <v>407</v>
      </c>
      <c r="B120" s="239" t="s">
        <v>408</v>
      </c>
      <c r="C120" s="117"/>
    </row>
    <row r="121" spans="1:3" ht="12" customHeight="1" thickBot="1" x14ac:dyDescent="0.3">
      <c r="A121" s="240" t="s">
        <v>17</v>
      </c>
      <c r="B121" s="241" t="s">
        <v>293</v>
      </c>
      <c r="C121" s="242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14"/>
    </row>
    <row r="123" spans="1:3" ht="12" customHeight="1" x14ac:dyDescent="0.25">
      <c r="A123" s="12" t="s">
        <v>92</v>
      </c>
      <c r="B123" s="9" t="s">
        <v>297</v>
      </c>
      <c r="C123" s="214"/>
    </row>
    <row r="124" spans="1:3" ht="12" customHeight="1" x14ac:dyDescent="0.25">
      <c r="A124" s="12" t="s">
        <v>93</v>
      </c>
      <c r="B124" s="9" t="s">
        <v>138</v>
      </c>
      <c r="C124" s="114"/>
    </row>
    <row r="125" spans="1:3" ht="12" customHeight="1" x14ac:dyDescent="0.25">
      <c r="A125" s="12" t="s">
        <v>94</v>
      </c>
      <c r="B125" s="9" t="s">
        <v>298</v>
      </c>
      <c r="C125" s="248"/>
    </row>
    <row r="126" spans="1:3" ht="12" customHeight="1" x14ac:dyDescent="0.25">
      <c r="A126" s="12" t="s">
        <v>95</v>
      </c>
      <c r="B126" s="107" t="s">
        <v>159</v>
      </c>
      <c r="C126" s="248">
        <f>SUM(C127:C134)</f>
        <v>0</v>
      </c>
    </row>
    <row r="127" spans="1:3" ht="12" customHeight="1" x14ac:dyDescent="0.25">
      <c r="A127" s="12" t="s">
        <v>104</v>
      </c>
      <c r="B127" s="106" t="s">
        <v>358</v>
      </c>
      <c r="C127" s="248"/>
    </row>
    <row r="128" spans="1:3" ht="12" customHeight="1" x14ac:dyDescent="0.25">
      <c r="A128" s="12" t="s">
        <v>106</v>
      </c>
      <c r="B128" s="177" t="s">
        <v>303</v>
      </c>
      <c r="C128" s="248"/>
    </row>
    <row r="129" spans="1:3" x14ac:dyDescent="0.25">
      <c r="A129" s="12" t="s">
        <v>139</v>
      </c>
      <c r="B129" s="59" t="s">
        <v>286</v>
      </c>
      <c r="C129" s="248"/>
    </row>
    <row r="130" spans="1:3" ht="12" customHeight="1" x14ac:dyDescent="0.25">
      <c r="A130" s="12" t="s">
        <v>140</v>
      </c>
      <c r="B130" s="59" t="s">
        <v>302</v>
      </c>
      <c r="C130" s="248"/>
    </row>
    <row r="131" spans="1:3" ht="12" customHeight="1" x14ac:dyDescent="0.25">
      <c r="A131" s="12" t="s">
        <v>141</v>
      </c>
      <c r="B131" s="59" t="s">
        <v>301</v>
      </c>
      <c r="C131" s="248"/>
    </row>
    <row r="132" spans="1:3" ht="12" customHeight="1" x14ac:dyDescent="0.25">
      <c r="A132" s="12" t="s">
        <v>294</v>
      </c>
      <c r="B132" s="59" t="s">
        <v>289</v>
      </c>
      <c r="C132" s="248"/>
    </row>
    <row r="133" spans="1:3" ht="12" customHeight="1" x14ac:dyDescent="0.25">
      <c r="A133" s="12" t="s">
        <v>295</v>
      </c>
      <c r="B133" s="59" t="s">
        <v>300</v>
      </c>
      <c r="C133" s="248"/>
    </row>
    <row r="134" spans="1:3" ht="16.5" thickBot="1" x14ac:dyDescent="0.3">
      <c r="A134" s="10" t="s">
        <v>296</v>
      </c>
      <c r="B134" s="59" t="s">
        <v>299</v>
      </c>
      <c r="C134" s="251"/>
    </row>
    <row r="135" spans="1:3" ht="12" customHeight="1" thickBot="1" x14ac:dyDescent="0.3">
      <c r="A135" s="17" t="s">
        <v>18</v>
      </c>
      <c r="B135" s="54" t="s">
        <v>409</v>
      </c>
      <c r="C135" s="110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0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99"/>
    </row>
    <row r="138" spans="1:3" ht="12" customHeight="1" x14ac:dyDescent="0.25">
      <c r="A138" s="12" t="s">
        <v>198</v>
      </c>
      <c r="B138" s="9" t="s">
        <v>412</v>
      </c>
      <c r="C138" s="99"/>
    </row>
    <row r="139" spans="1:3" ht="12" customHeight="1" thickBot="1" x14ac:dyDescent="0.3">
      <c r="A139" s="10" t="s">
        <v>199</v>
      </c>
      <c r="B139" s="9" t="s">
        <v>413</v>
      </c>
      <c r="C139" s="99"/>
    </row>
    <row r="140" spans="1:3" ht="12" customHeight="1" thickBot="1" x14ac:dyDescent="0.3">
      <c r="A140" s="17" t="s">
        <v>20</v>
      </c>
      <c r="B140" s="54" t="s">
        <v>414</v>
      </c>
      <c r="C140" s="110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99"/>
    </row>
    <row r="142" spans="1:3" ht="12" customHeight="1" x14ac:dyDescent="0.25">
      <c r="A142" s="12" t="s">
        <v>79</v>
      </c>
      <c r="B142" s="6" t="s">
        <v>416</v>
      </c>
      <c r="C142" s="99"/>
    </row>
    <row r="143" spans="1:3" ht="12" customHeight="1" x14ac:dyDescent="0.25">
      <c r="A143" s="12" t="s">
        <v>80</v>
      </c>
      <c r="B143" s="6" t="s">
        <v>417</v>
      </c>
      <c r="C143" s="99"/>
    </row>
    <row r="144" spans="1:3" ht="12" customHeight="1" x14ac:dyDescent="0.25">
      <c r="A144" s="12" t="s">
        <v>126</v>
      </c>
      <c r="B144" s="6" t="s">
        <v>418</v>
      </c>
      <c r="C144" s="99"/>
    </row>
    <row r="145" spans="1:6" ht="12" customHeight="1" x14ac:dyDescent="0.25">
      <c r="A145" s="12" t="s">
        <v>127</v>
      </c>
      <c r="B145" s="6" t="s">
        <v>419</v>
      </c>
      <c r="C145" s="99"/>
    </row>
    <row r="146" spans="1:6" ht="12" customHeight="1" thickBot="1" x14ac:dyDescent="0.3">
      <c r="A146" s="10" t="s">
        <v>128</v>
      </c>
      <c r="B146" s="6" t="s">
        <v>420</v>
      </c>
      <c r="C146" s="99"/>
    </row>
    <row r="147" spans="1:6" ht="12" customHeight="1" thickBot="1" x14ac:dyDescent="0.3">
      <c r="A147" s="17" t="s">
        <v>21</v>
      </c>
      <c r="B147" s="54" t="s">
        <v>421</v>
      </c>
      <c r="C147" s="115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99"/>
    </row>
    <row r="149" spans="1:6" ht="12" customHeight="1" x14ac:dyDescent="0.25">
      <c r="A149" s="12" t="s">
        <v>82</v>
      </c>
      <c r="B149" s="6" t="s">
        <v>305</v>
      </c>
      <c r="C149" s="99"/>
    </row>
    <row r="150" spans="1:6" ht="12" customHeight="1" x14ac:dyDescent="0.25">
      <c r="A150" s="12" t="s">
        <v>218</v>
      </c>
      <c r="B150" s="6" t="s">
        <v>422</v>
      </c>
      <c r="C150" s="99"/>
    </row>
    <row r="151" spans="1:6" ht="12" customHeight="1" thickBot="1" x14ac:dyDescent="0.3">
      <c r="A151" s="10" t="s">
        <v>219</v>
      </c>
      <c r="B151" s="4" t="s">
        <v>323</v>
      </c>
      <c r="C151" s="99"/>
    </row>
    <row r="152" spans="1:6" ht="12" customHeight="1" thickBot="1" x14ac:dyDescent="0.3">
      <c r="A152" s="17" t="s">
        <v>22</v>
      </c>
      <c r="B152" s="54" t="s">
        <v>423</v>
      </c>
      <c r="C152" s="118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99"/>
    </row>
    <row r="154" spans="1:6" ht="12" customHeight="1" x14ac:dyDescent="0.25">
      <c r="A154" s="12" t="s">
        <v>84</v>
      </c>
      <c r="B154" s="6" t="s">
        <v>425</v>
      </c>
      <c r="C154" s="99"/>
    </row>
    <row r="155" spans="1:6" ht="12" customHeight="1" x14ac:dyDescent="0.25">
      <c r="A155" s="12" t="s">
        <v>230</v>
      </c>
      <c r="B155" s="6" t="s">
        <v>426</v>
      </c>
      <c r="C155" s="99"/>
    </row>
    <row r="156" spans="1:6" ht="12" customHeight="1" x14ac:dyDescent="0.25">
      <c r="A156" s="12" t="s">
        <v>231</v>
      </c>
      <c r="B156" s="6" t="s">
        <v>427</v>
      </c>
      <c r="C156" s="99"/>
    </row>
    <row r="157" spans="1:6" ht="12" customHeight="1" thickBot="1" x14ac:dyDescent="0.3">
      <c r="A157" s="12" t="s">
        <v>428</v>
      </c>
      <c r="B157" s="6" t="s">
        <v>429</v>
      </c>
      <c r="C157" s="99"/>
    </row>
    <row r="158" spans="1:6" ht="12" customHeight="1" thickBot="1" x14ac:dyDescent="0.3">
      <c r="A158" s="17" t="s">
        <v>23</v>
      </c>
      <c r="B158" s="54" t="s">
        <v>430</v>
      </c>
      <c r="C158" s="243"/>
    </row>
    <row r="159" spans="1:6" ht="12" customHeight="1" thickBot="1" x14ac:dyDescent="0.3">
      <c r="A159" s="17" t="s">
        <v>24</v>
      </c>
      <c r="B159" s="54" t="s">
        <v>431</v>
      </c>
      <c r="C159" s="243"/>
    </row>
    <row r="160" spans="1:6" ht="15" customHeight="1" thickBot="1" x14ac:dyDescent="0.3">
      <c r="A160" s="17" t="s">
        <v>25</v>
      </c>
      <c r="B160" s="54" t="s">
        <v>432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433</v>
      </c>
      <c r="C161" s="189">
        <f>+C135+C160</f>
        <v>0</v>
      </c>
    </row>
    <row r="162" spans="1:3" ht="7.5" customHeight="1" x14ac:dyDescent="0.25"/>
    <row r="163" spans="1:3" x14ac:dyDescent="0.25">
      <c r="A163" s="1324" t="s">
        <v>306</v>
      </c>
      <c r="B163" s="1324"/>
      <c r="C163" s="1324"/>
    </row>
    <row r="164" spans="1:3" ht="15" customHeight="1" thickBot="1" x14ac:dyDescent="0.3">
      <c r="A164" s="1327" t="s">
        <v>116</v>
      </c>
      <c r="B164" s="1327"/>
      <c r="C164" s="119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0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zoomScale="115" zoomScaleNormal="115" zoomScaleSheetLayoutView="100" workbookViewId="0">
      <selection activeCell="F34" sqref="F34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335" t="s">
        <v>119</v>
      </c>
      <c r="B1" s="1335"/>
      <c r="C1" s="1335"/>
      <c r="D1" s="1335"/>
      <c r="E1" s="1335"/>
      <c r="F1" s="1331" t="str">
        <f>CONCATENATE("5. melléklet ",ALAPADATOK!A7," ",ALAPADATOK!B7," ",ALAPADATOK!C7," ",ALAPADATOK!D8," ",ALAPADATOK!E7," ",ALAPADATOK!F7," ",ALAPADATOK!G7," ",ALAPADATOK!H7)</f>
        <v>5. melléklet az 5 / 2023. ( II.24. ) önkormányzati rendelethez</v>
      </c>
    </row>
    <row r="2" spans="1:6" ht="39.75" hidden="1" customHeight="1" thickBot="1" x14ac:dyDescent="0.25">
      <c r="A2" s="977"/>
      <c r="B2" s="973"/>
      <c r="C2" s="973"/>
      <c r="D2" s="973"/>
      <c r="E2" s="973"/>
      <c r="F2" s="1331"/>
    </row>
    <row r="3" spans="1:6" ht="18" customHeight="1" thickBot="1" x14ac:dyDescent="0.25">
      <c r="A3" s="1332" t="s">
        <v>63</v>
      </c>
      <c r="B3" s="470" t="s">
        <v>52</v>
      </c>
      <c r="C3" s="471"/>
      <c r="D3" s="470" t="s">
        <v>53</v>
      </c>
      <c r="E3" s="472"/>
      <c r="F3" s="1331"/>
    </row>
    <row r="4" spans="1:6" s="126" customFormat="1" ht="35.25" customHeight="1" thickBot="1" x14ac:dyDescent="0.25">
      <c r="A4" s="1333"/>
      <c r="B4" s="473" t="s">
        <v>57</v>
      </c>
      <c r="C4" s="474" t="s">
        <v>945</v>
      </c>
      <c r="D4" s="473" t="s">
        <v>57</v>
      </c>
      <c r="E4" s="475" t="str">
        <f>+C4</f>
        <v>2022.évi előirányzat</v>
      </c>
      <c r="F4" s="1331"/>
    </row>
    <row r="5" spans="1:6" s="131" customFormat="1" ht="12" customHeight="1" thickBot="1" x14ac:dyDescent="0.25">
      <c r="A5" s="127" t="s">
        <v>385</v>
      </c>
      <c r="B5" s="128" t="s">
        <v>386</v>
      </c>
      <c r="C5" s="129" t="s">
        <v>387</v>
      </c>
      <c r="D5" s="128" t="s">
        <v>437</v>
      </c>
      <c r="E5" s="130" t="s">
        <v>438</v>
      </c>
      <c r="F5" s="1331"/>
    </row>
    <row r="6" spans="1:6" ht="12.95" customHeight="1" x14ac:dyDescent="0.2">
      <c r="A6" s="132" t="s">
        <v>16</v>
      </c>
      <c r="B6" s="148" t="s">
        <v>307</v>
      </c>
      <c r="C6" s="466">
        <f>'1. sz.mell. '!C11</f>
        <v>1797356954</v>
      </c>
      <c r="D6" s="148" t="s">
        <v>58</v>
      </c>
      <c r="E6" s="34">
        <f>'1. sz.mell. '!C100</f>
        <v>1405932483</v>
      </c>
      <c r="F6" s="1331"/>
    </row>
    <row r="7" spans="1:6" ht="12.95" customHeight="1" x14ac:dyDescent="0.2">
      <c r="A7" s="134" t="s">
        <v>17</v>
      </c>
      <c r="B7" s="138" t="s">
        <v>308</v>
      </c>
      <c r="C7" s="35">
        <f>'1. sz.mell. '!C20</f>
        <v>502079781</v>
      </c>
      <c r="D7" s="138" t="s">
        <v>134</v>
      </c>
      <c r="E7" s="34">
        <f>'1. sz.mell. '!C101</f>
        <v>203129909</v>
      </c>
      <c r="F7" s="1331"/>
    </row>
    <row r="8" spans="1:6" ht="12.95" customHeight="1" x14ac:dyDescent="0.2">
      <c r="A8" s="134" t="s">
        <v>18</v>
      </c>
      <c r="B8" s="138" t="s">
        <v>328</v>
      </c>
      <c r="C8" s="35">
        <f>'1. sz.mell. '!C26</f>
        <v>132730457</v>
      </c>
      <c r="D8" s="138" t="s">
        <v>162</v>
      </c>
      <c r="E8" s="34">
        <f>'1. sz.mell. '!C102</f>
        <v>1505621577</v>
      </c>
      <c r="F8" s="1331"/>
    </row>
    <row r="9" spans="1:6" ht="12.95" customHeight="1" x14ac:dyDescent="0.2">
      <c r="A9" s="134" t="s">
        <v>19</v>
      </c>
      <c r="B9" s="138" t="s">
        <v>125</v>
      </c>
      <c r="C9" s="35">
        <f>'1. sz.mell. '!C34</f>
        <v>474994000</v>
      </c>
      <c r="D9" s="138" t="s">
        <v>135</v>
      </c>
      <c r="E9" s="36">
        <f>'1. sz.mell. '!C103</f>
        <v>38050000</v>
      </c>
      <c r="F9" s="1331"/>
    </row>
    <row r="10" spans="1:6" ht="12.95" customHeight="1" x14ac:dyDescent="0.2">
      <c r="A10" s="134" t="s">
        <v>20</v>
      </c>
      <c r="B10" s="476" t="s">
        <v>351</v>
      </c>
      <c r="C10" s="35">
        <f>'1. sz.mell. '!C41</f>
        <v>362331014</v>
      </c>
      <c r="D10" s="138" t="s">
        <v>136</v>
      </c>
      <c r="E10" s="36">
        <f>'1. sz.mell. '!C104</f>
        <v>201443249</v>
      </c>
      <c r="F10" s="1331"/>
    </row>
    <row r="11" spans="1:6" ht="12.95" customHeight="1" x14ac:dyDescent="0.2">
      <c r="A11" s="134" t="s">
        <v>21</v>
      </c>
      <c r="B11" s="138" t="s">
        <v>309</v>
      </c>
      <c r="C11" s="254">
        <f>'1. sz.mell. '!C59</f>
        <v>3950083</v>
      </c>
      <c r="D11" s="138" t="s">
        <v>47</v>
      </c>
      <c r="E11" s="36">
        <f>'1. sz.mell. '!C117-'7. sz.mell .'!E17</f>
        <v>2459315</v>
      </c>
      <c r="F11" s="1331"/>
    </row>
    <row r="12" spans="1:6" ht="12.95" customHeight="1" x14ac:dyDescent="0.2">
      <c r="A12" s="134" t="s">
        <v>22</v>
      </c>
      <c r="B12" s="138" t="s">
        <v>439</v>
      </c>
      <c r="C12" s="35">
        <f>'1. sz.mell. '!C63</f>
        <v>0</v>
      </c>
      <c r="D12" s="273"/>
      <c r="E12" s="36"/>
      <c r="F12" s="1331"/>
    </row>
    <row r="13" spans="1:6" ht="12.95" customHeight="1" x14ac:dyDescent="0.2">
      <c r="A13" s="134" t="s">
        <v>23</v>
      </c>
      <c r="B13" s="273"/>
      <c r="C13" s="35"/>
      <c r="D13" s="273"/>
      <c r="E13" s="36"/>
      <c r="F13" s="1331"/>
    </row>
    <row r="14" spans="1:6" ht="12.95" customHeight="1" x14ac:dyDescent="0.2">
      <c r="A14" s="134" t="s">
        <v>24</v>
      </c>
      <c r="B14" s="191"/>
      <c r="C14" s="254"/>
      <c r="D14" s="273"/>
      <c r="E14" s="36"/>
      <c r="F14" s="1331"/>
    </row>
    <row r="15" spans="1:6" ht="12.95" customHeight="1" x14ac:dyDescent="0.2">
      <c r="A15" s="134" t="s">
        <v>25</v>
      </c>
      <c r="B15" s="273"/>
      <c r="C15" s="35"/>
      <c r="D15" s="273"/>
      <c r="E15" s="36"/>
      <c r="F15" s="1331"/>
    </row>
    <row r="16" spans="1:6" ht="12.95" customHeight="1" x14ac:dyDescent="0.2">
      <c r="A16" s="134" t="s">
        <v>26</v>
      </c>
      <c r="B16" s="273"/>
      <c r="C16" s="35"/>
      <c r="D16" s="273"/>
      <c r="E16" s="36"/>
      <c r="F16" s="1331"/>
    </row>
    <row r="17" spans="1:6" ht="12.95" customHeight="1" thickBot="1" x14ac:dyDescent="0.25">
      <c r="A17" s="134" t="s">
        <v>27</v>
      </c>
      <c r="B17" s="477"/>
      <c r="C17" s="358"/>
      <c r="D17" s="273"/>
      <c r="E17" s="387"/>
      <c r="F17" s="1331"/>
    </row>
    <row r="18" spans="1:6" ht="15.95" customHeight="1" thickBot="1" x14ac:dyDescent="0.25">
      <c r="A18" s="136" t="s">
        <v>28</v>
      </c>
      <c r="B18" s="55" t="s">
        <v>440</v>
      </c>
      <c r="C18" s="120">
        <f>SUM(C6:C17)-C8</f>
        <v>3140711832</v>
      </c>
      <c r="D18" s="55" t="s">
        <v>314</v>
      </c>
      <c r="E18" s="124">
        <f>SUM(E6:E17)</f>
        <v>3356636533</v>
      </c>
      <c r="F18" s="1331"/>
    </row>
    <row r="19" spans="1:6" ht="12.95" customHeight="1" x14ac:dyDescent="0.2">
      <c r="A19" s="169" t="s">
        <v>29</v>
      </c>
      <c r="B19" s="137" t="s">
        <v>311</v>
      </c>
      <c r="C19" s="217">
        <f>SUM(C20:C23)</f>
        <v>191914301</v>
      </c>
      <c r="D19" s="138" t="s">
        <v>142</v>
      </c>
      <c r="E19" s="125"/>
      <c r="F19" s="1331"/>
    </row>
    <row r="20" spans="1:6" ht="12.95" customHeight="1" x14ac:dyDescent="0.2">
      <c r="A20" s="134" t="s">
        <v>30</v>
      </c>
      <c r="B20" s="138" t="s">
        <v>155</v>
      </c>
      <c r="C20" s="35">
        <f>'1. sz.mell. '!C80-'7. sz.mell .'!C20</f>
        <v>191914301</v>
      </c>
      <c r="D20" s="138" t="s">
        <v>313</v>
      </c>
      <c r="E20" s="36">
        <f>'1. sz.mell. '!C137</f>
        <v>1050000000</v>
      </c>
      <c r="F20" s="1331"/>
    </row>
    <row r="21" spans="1:6" ht="12.95" customHeight="1" x14ac:dyDescent="0.2">
      <c r="A21" s="134" t="s">
        <v>31</v>
      </c>
      <c r="B21" s="138" t="s">
        <v>156</v>
      </c>
      <c r="C21" s="35"/>
      <c r="D21" s="138" t="s">
        <v>117</v>
      </c>
      <c r="E21" s="36"/>
      <c r="F21" s="1331"/>
    </row>
    <row r="22" spans="1:6" ht="12.95" customHeight="1" x14ac:dyDescent="0.2">
      <c r="A22" s="134" t="s">
        <v>32</v>
      </c>
      <c r="B22" s="138" t="s">
        <v>160</v>
      </c>
      <c r="C22" s="35"/>
      <c r="D22" s="138" t="s">
        <v>118</v>
      </c>
      <c r="E22" s="36"/>
      <c r="F22" s="1331"/>
    </row>
    <row r="23" spans="1:6" ht="12.95" customHeight="1" x14ac:dyDescent="0.2">
      <c r="A23" s="134" t="s">
        <v>33</v>
      </c>
      <c r="B23" s="138" t="s">
        <v>161</v>
      </c>
      <c r="C23" s="35"/>
      <c r="D23" s="137" t="s">
        <v>163</v>
      </c>
      <c r="E23" s="36"/>
      <c r="F23" s="1331"/>
    </row>
    <row r="24" spans="1:6" ht="12.95" customHeight="1" x14ac:dyDescent="0.2">
      <c r="A24" s="134" t="s">
        <v>34</v>
      </c>
      <c r="B24" s="138" t="s">
        <v>312</v>
      </c>
      <c r="C24" s="139">
        <f>SUM(C25:C26)</f>
        <v>1050000000</v>
      </c>
      <c r="D24" s="138" t="s">
        <v>143</v>
      </c>
      <c r="E24" s="36"/>
      <c r="F24" s="1331"/>
    </row>
    <row r="25" spans="1:6" ht="12.95" customHeight="1" x14ac:dyDescent="0.2">
      <c r="A25" s="169" t="s">
        <v>35</v>
      </c>
      <c r="B25" s="137" t="s">
        <v>310</v>
      </c>
      <c r="C25" s="121">
        <f>'1. sz.mell. '!C72</f>
        <v>1050000000</v>
      </c>
      <c r="D25" s="148" t="s">
        <v>422</v>
      </c>
      <c r="E25" s="125"/>
      <c r="F25" s="1331"/>
    </row>
    <row r="26" spans="1:6" ht="12.95" customHeight="1" x14ac:dyDescent="0.2">
      <c r="A26" s="134" t="s">
        <v>36</v>
      </c>
      <c r="B26" s="138" t="s">
        <v>441</v>
      </c>
      <c r="C26" s="35"/>
      <c r="D26" s="138" t="s">
        <v>430</v>
      </c>
      <c r="E26" s="36"/>
      <c r="F26" s="1331"/>
    </row>
    <row r="27" spans="1:6" ht="12.95" customHeight="1" x14ac:dyDescent="0.2">
      <c r="A27" s="134" t="s">
        <v>37</v>
      </c>
      <c r="B27" s="138" t="s">
        <v>255</v>
      </c>
      <c r="C27" s="35">
        <f>'1. sz.mell. '!C83</f>
        <v>61842606</v>
      </c>
      <c r="D27" s="138" t="s">
        <v>431</v>
      </c>
      <c r="E27" s="36"/>
      <c r="F27" s="1331"/>
    </row>
    <row r="28" spans="1:6" ht="12.95" customHeight="1" thickBot="1" x14ac:dyDescent="0.25">
      <c r="A28" s="169" t="s">
        <v>38</v>
      </c>
      <c r="B28" s="137" t="s">
        <v>268</v>
      </c>
      <c r="C28" s="121"/>
      <c r="D28" s="478" t="s">
        <v>480</v>
      </c>
      <c r="E28" s="125">
        <f>'1. sz.mell. '!C148</f>
        <v>55076107</v>
      </c>
      <c r="F28" s="1331"/>
    </row>
    <row r="29" spans="1:6" ht="21.75" customHeight="1" thickBot="1" x14ac:dyDescent="0.25">
      <c r="A29" s="136" t="s">
        <v>39</v>
      </c>
      <c r="B29" s="55" t="s">
        <v>442</v>
      </c>
      <c r="C29" s="120">
        <f>+C19+C24+C27+C28</f>
        <v>1303756907</v>
      </c>
      <c r="D29" s="55" t="s">
        <v>443</v>
      </c>
      <c r="E29" s="124">
        <f>SUM(E19:E28)</f>
        <v>1105076107</v>
      </c>
      <c r="F29" s="1331"/>
    </row>
    <row r="30" spans="1:6" ht="13.5" thickBot="1" x14ac:dyDescent="0.25">
      <c r="A30" s="136" t="s">
        <v>40</v>
      </c>
      <c r="B30" s="140" t="s">
        <v>444</v>
      </c>
      <c r="C30" s="278">
        <f>+C18+C29</f>
        <v>4444468739</v>
      </c>
      <c r="D30" s="140" t="s">
        <v>445</v>
      </c>
      <c r="E30" s="278">
        <f>E29+E18</f>
        <v>4461712640</v>
      </c>
      <c r="F30" s="1331"/>
    </row>
    <row r="31" spans="1:6" ht="13.5" thickBot="1" x14ac:dyDescent="0.25">
      <c r="A31" s="136" t="s">
        <v>41</v>
      </c>
      <c r="B31" s="140" t="s">
        <v>120</v>
      </c>
      <c r="C31" s="278">
        <f>IF(C18-E18&lt;0,E18-C18,"-")</f>
        <v>215924701</v>
      </c>
      <c r="D31" s="140" t="s">
        <v>121</v>
      </c>
      <c r="E31" s="278" t="str">
        <f>IF(C18-E18&gt;0,C18-E18,"-")</f>
        <v>-</v>
      </c>
      <c r="F31" s="1331"/>
    </row>
    <row r="32" spans="1:6" ht="13.5" thickBot="1" x14ac:dyDescent="0.25">
      <c r="A32" s="136" t="s">
        <v>42</v>
      </c>
      <c r="B32" s="140" t="s">
        <v>730</v>
      </c>
      <c r="C32" s="278" t="str">
        <f>IF(C29-E29&lt;0,E29-C29,"-")</f>
        <v>-</v>
      </c>
      <c r="D32" s="140" t="s">
        <v>731</v>
      </c>
      <c r="E32" s="278">
        <f>IF(C29-E29&gt;0,C29-E29,"-")</f>
        <v>198680800</v>
      </c>
      <c r="F32" s="1331"/>
    </row>
    <row r="33" spans="1:6" ht="13.5" thickBot="1" x14ac:dyDescent="0.25">
      <c r="A33" s="136" t="s">
        <v>43</v>
      </c>
      <c r="B33" s="140" t="s">
        <v>164</v>
      </c>
      <c r="C33" s="141">
        <f>IF(C30-E30&lt;0,E30-C30,"-")</f>
        <v>17243901</v>
      </c>
      <c r="D33" s="140" t="s">
        <v>165</v>
      </c>
      <c r="E33" s="278" t="str">
        <f>IF(C30-E30&gt;0,C30-E30,"-")</f>
        <v>-</v>
      </c>
      <c r="F33" s="1331"/>
    </row>
    <row r="34" spans="1:6" ht="18.75" x14ac:dyDescent="0.2">
      <c r="B34" s="1334"/>
      <c r="C34" s="1334"/>
      <c r="D34" s="1334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2:F41"/>
  <sheetViews>
    <sheetView zoomScale="130" zoomScaleNormal="130" zoomScaleSheetLayoutView="115" workbookViewId="0">
      <selection activeCell="F36" sqref="F36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2" spans="1:6" ht="37.5" customHeight="1" thickBot="1" x14ac:dyDescent="0.25">
      <c r="A2" s="1336" t="s">
        <v>500</v>
      </c>
      <c r="B2" s="1336"/>
      <c r="C2" s="1336"/>
      <c r="D2" s="1336"/>
      <c r="E2" s="1336"/>
      <c r="F2" s="1331" t="str">
        <f>CONCATENATE("6. melléklet ",ALAPADATOK!A7," ",ALAPADATOK!B7," ",ALAPADATOK!C7," ",ALAPADATOK!D8," ",ALAPADATOK!E7," ",ALAPADATOK!F7," ",ALAPADATOK!G7," ",ALAPADATOK!H7)</f>
        <v>6. melléklet az 5 / 2023. ( II.24. ) önkormányzati rendelethez</v>
      </c>
    </row>
    <row r="3" spans="1:6" ht="37.5" hidden="1" customHeight="1" thickBot="1" x14ac:dyDescent="0.25">
      <c r="A3" s="640"/>
      <c r="B3" s="980"/>
      <c r="C3" s="980"/>
      <c r="D3" s="980"/>
      <c r="E3" s="980"/>
      <c r="F3" s="1331"/>
    </row>
    <row r="4" spans="1:6" ht="13.5" customHeight="1" thickBot="1" x14ac:dyDescent="0.25">
      <c r="A4" s="1332" t="s">
        <v>63</v>
      </c>
      <c r="B4" s="70" t="s">
        <v>52</v>
      </c>
      <c r="C4" s="982"/>
      <c r="D4" s="70" t="s">
        <v>53</v>
      </c>
      <c r="E4" s="983"/>
      <c r="F4" s="1331"/>
    </row>
    <row r="5" spans="1:6" s="126" customFormat="1" ht="24.75" thickBot="1" x14ac:dyDescent="0.25">
      <c r="A5" s="1333"/>
      <c r="B5" s="70" t="s">
        <v>57</v>
      </c>
      <c r="C5" s="29" t="s">
        <v>944</v>
      </c>
      <c r="D5" s="70" t="s">
        <v>57</v>
      </c>
      <c r="E5" s="29" t="str">
        <f>C5</f>
        <v>2022. évi előirányzat</v>
      </c>
      <c r="F5" s="1331"/>
    </row>
    <row r="6" spans="1:6" s="126" customFormat="1" ht="13.5" thickBot="1" x14ac:dyDescent="0.25">
      <c r="A6" s="127" t="s">
        <v>385</v>
      </c>
      <c r="B6" s="128" t="s">
        <v>386</v>
      </c>
      <c r="C6" s="129" t="s">
        <v>387</v>
      </c>
      <c r="D6" s="128" t="s">
        <v>437</v>
      </c>
      <c r="E6" s="130" t="s">
        <v>438</v>
      </c>
      <c r="F6" s="1331"/>
    </row>
    <row r="7" spans="1:6" ht="12.95" customHeight="1" x14ac:dyDescent="0.2">
      <c r="A7" s="132" t="s">
        <v>16</v>
      </c>
      <c r="B7" s="133" t="s">
        <v>315</v>
      </c>
      <c r="C7" s="466">
        <f>'1. sz.mell. '!C27</f>
        <v>1267865397</v>
      </c>
      <c r="D7" s="148" t="s">
        <v>157</v>
      </c>
      <c r="E7" s="34">
        <f>'1. sz.mell. '!C121</f>
        <v>978605469</v>
      </c>
      <c r="F7" s="1331"/>
    </row>
    <row r="8" spans="1:6" ht="12.75" customHeight="1" x14ac:dyDescent="0.2">
      <c r="A8" s="134" t="s">
        <v>17</v>
      </c>
      <c r="B8" s="135" t="s">
        <v>316</v>
      </c>
      <c r="C8" s="35">
        <f>'1. sz.mell. '!C33</f>
        <v>1236223642</v>
      </c>
      <c r="D8" s="138" t="s">
        <v>321</v>
      </c>
      <c r="E8" s="677">
        <f>'1. sz.mell. '!C122</f>
        <v>442903183</v>
      </c>
      <c r="F8" s="1331"/>
    </row>
    <row r="9" spans="1:6" ht="12.95" customHeight="1" x14ac:dyDescent="0.2">
      <c r="A9" s="134" t="s">
        <v>18</v>
      </c>
      <c r="B9" s="135" t="s">
        <v>9</v>
      </c>
      <c r="C9" s="35">
        <f>'1. sz.mell. '!C53</f>
        <v>48000000</v>
      </c>
      <c r="D9" s="138" t="s">
        <v>138</v>
      </c>
      <c r="E9" s="677">
        <f>'1. sz.mell. '!C123</f>
        <v>2616438434</v>
      </c>
      <c r="F9" s="1331"/>
    </row>
    <row r="10" spans="1:6" ht="12.95" customHeight="1" x14ac:dyDescent="0.2">
      <c r="A10" s="134" t="s">
        <v>19</v>
      </c>
      <c r="B10" s="135" t="s">
        <v>317</v>
      </c>
      <c r="C10" s="35">
        <f>'1. sz.mell. '!C64</f>
        <v>12220788</v>
      </c>
      <c r="D10" s="138" t="s">
        <v>322</v>
      </c>
      <c r="E10" s="677">
        <f>'1. sz.mell. '!C124</f>
        <v>1179981633</v>
      </c>
      <c r="F10" s="1331"/>
    </row>
    <row r="11" spans="1:6" ht="12.75" customHeight="1" x14ac:dyDescent="0.2">
      <c r="A11" s="134" t="s">
        <v>20</v>
      </c>
      <c r="B11" s="135" t="s">
        <v>318</v>
      </c>
      <c r="C11" s="35"/>
      <c r="D11" s="138" t="s">
        <v>159</v>
      </c>
      <c r="E11" s="36">
        <f>'1. sz.mell. '!C125</f>
        <v>4188243</v>
      </c>
      <c r="F11" s="1331"/>
    </row>
    <row r="12" spans="1:6" ht="12.95" customHeight="1" x14ac:dyDescent="0.2">
      <c r="A12" s="134" t="s">
        <v>21</v>
      </c>
      <c r="B12" s="135" t="s">
        <v>319</v>
      </c>
      <c r="C12" s="254"/>
      <c r="D12" s="244"/>
      <c r="E12" s="36"/>
      <c r="F12" s="1331"/>
    </row>
    <row r="13" spans="1:6" ht="12.95" customHeight="1" x14ac:dyDescent="0.2">
      <c r="A13" s="134" t="s">
        <v>22</v>
      </c>
      <c r="B13" s="30"/>
      <c r="C13" s="35"/>
      <c r="D13" s="244"/>
      <c r="E13" s="36"/>
      <c r="F13" s="1331"/>
    </row>
    <row r="14" spans="1:6" ht="12.95" customHeight="1" x14ac:dyDescent="0.2">
      <c r="A14" s="134" t="s">
        <v>23</v>
      </c>
      <c r="B14" s="30"/>
      <c r="C14" s="35"/>
      <c r="D14" s="244"/>
      <c r="E14" s="36"/>
      <c r="F14" s="1331"/>
    </row>
    <row r="15" spans="1:6" ht="12.95" customHeight="1" x14ac:dyDescent="0.2">
      <c r="A15" s="134" t="s">
        <v>24</v>
      </c>
      <c r="B15" s="245"/>
      <c r="C15" s="254"/>
      <c r="D15" s="244"/>
      <c r="E15" s="36"/>
      <c r="F15" s="1331"/>
    </row>
    <row r="16" spans="1:6" x14ac:dyDescent="0.2">
      <c r="A16" s="134" t="s">
        <v>25</v>
      </c>
      <c r="B16" s="30"/>
      <c r="C16" s="254"/>
      <c r="D16" s="244"/>
      <c r="E16" s="36"/>
      <c r="F16" s="1331"/>
    </row>
    <row r="17" spans="1:6" ht="12.95" customHeight="1" thickBot="1" x14ac:dyDescent="0.25">
      <c r="A17" s="169" t="s">
        <v>26</v>
      </c>
      <c r="B17" s="192"/>
      <c r="C17" s="274"/>
      <c r="D17" s="137" t="s">
        <v>47</v>
      </c>
      <c r="E17" s="125">
        <v>102862486</v>
      </c>
      <c r="F17" s="1331"/>
    </row>
    <row r="18" spans="1:6" ht="15.95" customHeight="1" thickBot="1" x14ac:dyDescent="0.25">
      <c r="A18" s="136" t="s">
        <v>27</v>
      </c>
      <c r="B18" s="55" t="s">
        <v>329</v>
      </c>
      <c r="C18" s="120">
        <f>+C7+C9+C10+C12+C13+C14+C15+C16+C17</f>
        <v>1328086185</v>
      </c>
      <c r="D18" s="55" t="s">
        <v>330</v>
      </c>
      <c r="E18" s="124">
        <f>+E7+E9+E11+E12+E13+E14+E15+E16+E17</f>
        <v>3702094632</v>
      </c>
      <c r="F18" s="1331"/>
    </row>
    <row r="19" spans="1:6" ht="12.95" customHeight="1" x14ac:dyDescent="0.2">
      <c r="A19" s="132" t="s">
        <v>28</v>
      </c>
      <c r="B19" s="144" t="s">
        <v>177</v>
      </c>
      <c r="C19" s="151">
        <f>+C20+C21+C22+C23+C24</f>
        <v>2246247394</v>
      </c>
      <c r="D19" s="138" t="s">
        <v>142</v>
      </c>
      <c r="E19" s="34"/>
      <c r="F19" s="1331"/>
    </row>
    <row r="20" spans="1:6" ht="22.5" customHeight="1" x14ac:dyDescent="0.2">
      <c r="A20" s="134" t="s">
        <v>29</v>
      </c>
      <c r="B20" s="145" t="s">
        <v>1019</v>
      </c>
      <c r="C20" s="35">
        <f>2169276510+76970884</f>
        <v>2246247394</v>
      </c>
      <c r="D20" s="138" t="s">
        <v>145</v>
      </c>
      <c r="E20" s="36">
        <f>SUM(E21:E22)</f>
        <v>22728296</v>
      </c>
      <c r="F20" s="1331"/>
    </row>
    <row r="21" spans="1:6" ht="12.95" customHeight="1" x14ac:dyDescent="0.2">
      <c r="A21" s="132" t="s">
        <v>30</v>
      </c>
      <c r="B21" s="145" t="s">
        <v>167</v>
      </c>
      <c r="C21" s="35"/>
      <c r="D21" s="543" t="s">
        <v>117</v>
      </c>
      <c r="E21" s="36"/>
      <c r="F21" s="1331"/>
    </row>
    <row r="22" spans="1:6" ht="12.95" customHeight="1" x14ac:dyDescent="0.2">
      <c r="A22" s="134" t="s">
        <v>31</v>
      </c>
      <c r="B22" s="145" t="s">
        <v>168</v>
      </c>
      <c r="C22" s="35"/>
      <c r="D22" s="543" t="s">
        <v>118</v>
      </c>
      <c r="E22" s="36">
        <f>'1. sz.mell. '!C136</f>
        <v>22728296</v>
      </c>
      <c r="F22" s="1331"/>
    </row>
    <row r="23" spans="1:6" ht="12.95" customHeight="1" x14ac:dyDescent="0.2">
      <c r="A23" s="132" t="s">
        <v>32</v>
      </c>
      <c r="B23" s="145" t="s">
        <v>169</v>
      </c>
      <c r="C23" s="35"/>
      <c r="D23" s="137" t="s">
        <v>163</v>
      </c>
      <c r="E23" s="36"/>
      <c r="F23" s="1331"/>
    </row>
    <row r="24" spans="1:6" ht="12.95" customHeight="1" x14ac:dyDescent="0.2">
      <c r="A24" s="134" t="s">
        <v>33</v>
      </c>
      <c r="B24" s="146" t="s">
        <v>170</v>
      </c>
      <c r="C24" s="35"/>
      <c r="D24" s="138" t="s">
        <v>146</v>
      </c>
      <c r="E24" s="36"/>
      <c r="F24" s="1331"/>
    </row>
    <row r="25" spans="1:6" ht="12.95" customHeight="1" x14ac:dyDescent="0.2">
      <c r="A25" s="132" t="s">
        <v>34</v>
      </c>
      <c r="B25" s="147" t="s">
        <v>171</v>
      </c>
      <c r="C25" s="359">
        <f>+C26+C27+C28+C29+C30</f>
        <v>167733250</v>
      </c>
      <c r="D25" s="148" t="s">
        <v>144</v>
      </c>
      <c r="E25" s="36"/>
      <c r="F25" s="1331"/>
    </row>
    <row r="26" spans="1:6" ht="12.95" customHeight="1" x14ac:dyDescent="0.2">
      <c r="A26" s="134" t="s">
        <v>35</v>
      </c>
      <c r="B26" s="146" t="s">
        <v>172</v>
      </c>
      <c r="C26" s="35">
        <f>'1. sz.mell. '!C71</f>
        <v>167733250</v>
      </c>
      <c r="D26" s="148" t="s">
        <v>323</v>
      </c>
      <c r="E26" s="36"/>
      <c r="F26" s="1331"/>
    </row>
    <row r="27" spans="1:6" ht="12.95" customHeight="1" x14ac:dyDescent="0.2">
      <c r="A27" s="132" t="s">
        <v>36</v>
      </c>
      <c r="B27" s="146" t="s">
        <v>173</v>
      </c>
      <c r="C27" s="35"/>
      <c r="D27" s="143"/>
      <c r="E27" s="36"/>
      <c r="F27" s="1331"/>
    </row>
    <row r="28" spans="1:6" ht="12.95" customHeight="1" x14ac:dyDescent="0.2">
      <c r="A28" s="134" t="s">
        <v>37</v>
      </c>
      <c r="B28" s="145" t="s">
        <v>174</v>
      </c>
      <c r="C28" s="35"/>
      <c r="D28" s="143"/>
      <c r="E28" s="36"/>
      <c r="F28" s="1331"/>
    </row>
    <row r="29" spans="1:6" ht="12.95" customHeight="1" x14ac:dyDescent="0.2">
      <c r="A29" s="132" t="s">
        <v>38</v>
      </c>
      <c r="B29" s="149" t="s">
        <v>175</v>
      </c>
      <c r="C29" s="35"/>
      <c r="D29" s="273"/>
      <c r="E29" s="36"/>
      <c r="F29" s="1331"/>
    </row>
    <row r="30" spans="1:6" ht="12.95" customHeight="1" thickBot="1" x14ac:dyDescent="0.25">
      <c r="A30" s="134" t="s">
        <v>39</v>
      </c>
      <c r="B30" s="150" t="s">
        <v>176</v>
      </c>
      <c r="C30" s="35"/>
      <c r="D30" s="143"/>
      <c r="E30" s="36"/>
      <c r="F30" s="1331"/>
    </row>
    <row r="31" spans="1:6" ht="21.75" customHeight="1" thickBot="1" x14ac:dyDescent="0.25">
      <c r="A31" s="136" t="s">
        <v>40</v>
      </c>
      <c r="B31" s="55" t="s">
        <v>320</v>
      </c>
      <c r="C31" s="120">
        <f>+C19+C25</f>
        <v>2413980644</v>
      </c>
      <c r="D31" s="55" t="s">
        <v>324</v>
      </c>
      <c r="E31" s="124">
        <f>SUM(E19:E30)-E21-E22</f>
        <v>22728296</v>
      </c>
      <c r="F31" s="1331"/>
    </row>
    <row r="32" spans="1:6" ht="13.5" thickBot="1" x14ac:dyDescent="0.25">
      <c r="A32" s="136" t="s">
        <v>41</v>
      </c>
      <c r="B32" s="140" t="s">
        <v>325</v>
      </c>
      <c r="C32" s="141">
        <f>+C18+C31</f>
        <v>3742066829</v>
      </c>
      <c r="D32" s="140" t="s">
        <v>326</v>
      </c>
      <c r="E32" s="141">
        <f>+E18+E31</f>
        <v>3724822928</v>
      </c>
      <c r="F32" s="1331"/>
    </row>
    <row r="33" spans="1:6" ht="13.5" thickBot="1" x14ac:dyDescent="0.25">
      <c r="A33" s="136" t="s">
        <v>42</v>
      </c>
      <c r="B33" s="140" t="s">
        <v>120</v>
      </c>
      <c r="C33" s="141">
        <f>IF(C18-E18&lt;0,E18-C18,"-")</f>
        <v>2374008447</v>
      </c>
      <c r="D33" s="140" t="s">
        <v>121</v>
      </c>
      <c r="E33" s="141" t="str">
        <f>IF(C18-E18&gt;0,C18-E18,"-")</f>
        <v>-</v>
      </c>
      <c r="F33" s="1331"/>
    </row>
    <row r="34" spans="1:6" ht="13.5" thickBot="1" x14ac:dyDescent="0.25">
      <c r="A34" s="136" t="s">
        <v>43</v>
      </c>
      <c r="B34" s="140" t="s">
        <v>730</v>
      </c>
      <c r="C34" s="278" t="str">
        <f>IF(C31-E31&lt;0,E31-C31,"-")</f>
        <v>-</v>
      </c>
      <c r="D34" s="140" t="s">
        <v>731</v>
      </c>
      <c r="E34" s="278">
        <f>IF(C31-E31&gt;0,C31-E31,"-")</f>
        <v>2391252348</v>
      </c>
      <c r="F34" s="1331"/>
    </row>
    <row r="35" spans="1:6" ht="13.5" thickBot="1" x14ac:dyDescent="0.25">
      <c r="A35" s="136" t="s">
        <v>732</v>
      </c>
      <c r="B35" s="140" t="s">
        <v>164</v>
      </c>
      <c r="C35" s="141" t="str">
        <f>IF(C32-E32&lt;0,E32-C32,"-")</f>
        <v>-</v>
      </c>
      <c r="D35" s="140" t="s">
        <v>165</v>
      </c>
      <c r="E35" s="141">
        <f>IF(C32-E32&gt;0,C32-E32,"-")</f>
        <v>17243901</v>
      </c>
      <c r="F35" s="1331"/>
    </row>
    <row r="36" spans="1:6" x14ac:dyDescent="0.2">
      <c r="C36" s="324"/>
      <c r="D36" s="324"/>
      <c r="E36" s="324"/>
    </row>
    <row r="37" spans="1:6" x14ac:dyDescent="0.2">
      <c r="C37" s="324"/>
      <c r="D37" s="324"/>
      <c r="E37" s="324"/>
    </row>
    <row r="38" spans="1:6" x14ac:dyDescent="0.2">
      <c r="C38" s="324"/>
      <c r="D38" s="324"/>
      <c r="E38" s="324"/>
    </row>
    <row r="39" spans="1:6" x14ac:dyDescent="0.2">
      <c r="C39" s="324"/>
      <c r="D39" s="324"/>
      <c r="E39" s="324"/>
    </row>
    <row r="40" spans="1:6" x14ac:dyDescent="0.2">
      <c r="C40" s="324"/>
      <c r="D40" s="324"/>
      <c r="E40" s="324"/>
    </row>
    <row r="41" spans="1:6" x14ac:dyDescent="0.2">
      <c r="C41" s="324"/>
      <c r="D41" s="324"/>
      <c r="E41" s="324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topLeftCell="A4" zoomScale="120" zoomScaleNormal="120" workbookViewId="0">
      <selection activeCell="A2" sqref="A2"/>
    </sheetView>
  </sheetViews>
  <sheetFormatPr defaultRowHeight="12.75" x14ac:dyDescent="0.2"/>
  <cols>
    <col min="1" max="1" width="46.33203125" customWidth="1"/>
    <col min="2" max="2" width="16.83203125" customWidth="1"/>
    <col min="3" max="3" width="66.1640625" customWidth="1"/>
    <col min="4" max="4" width="13.83203125" customWidth="1"/>
    <col min="5" max="5" width="17.6640625" customWidth="1"/>
  </cols>
  <sheetData>
    <row r="1" spans="1:5" ht="18.75" x14ac:dyDescent="0.3">
      <c r="A1" s="603" t="s">
        <v>681</v>
      </c>
      <c r="E1" s="604" t="s">
        <v>682</v>
      </c>
    </row>
    <row r="3" spans="1:5" x14ac:dyDescent="0.2">
      <c r="A3" s="605"/>
      <c r="B3" s="606"/>
      <c r="C3" s="605"/>
      <c r="D3" s="607"/>
      <c r="E3" s="606"/>
    </row>
    <row r="4" spans="1:5" ht="15.75" x14ac:dyDescent="0.25">
      <c r="A4" s="608" t="s">
        <v>1011</v>
      </c>
      <c r="B4" s="609"/>
      <c r="C4" s="610"/>
      <c r="D4" s="607"/>
      <c r="E4" s="606"/>
    </row>
    <row r="5" spans="1:5" x14ac:dyDescent="0.2">
      <c r="A5" s="605"/>
      <c r="B5" s="606"/>
      <c r="C5" s="605"/>
      <c r="D5" s="607"/>
      <c r="E5" s="606"/>
    </row>
    <row r="6" spans="1:5" x14ac:dyDescent="0.2">
      <c r="A6" s="605" t="s">
        <v>683</v>
      </c>
      <c r="B6" s="606">
        <f>'1. sz.mell. '!C69</f>
        <v>4468798017</v>
      </c>
      <c r="C6" s="605" t="s">
        <v>684</v>
      </c>
      <c r="D6" s="607">
        <f>'6. sz.mell '!C18+'7. sz.mell .'!C18</f>
        <v>4468798017</v>
      </c>
      <c r="E6" s="606">
        <f t="shared" ref="E6:E15" si="0">+B6-D6</f>
        <v>0</v>
      </c>
    </row>
    <row r="7" spans="1:5" x14ac:dyDescent="0.2">
      <c r="A7" s="605" t="s">
        <v>685</v>
      </c>
      <c r="B7" s="606">
        <f>'1. sz.mell. '!C93</f>
        <v>3717737551</v>
      </c>
      <c r="C7" s="605" t="s">
        <v>686</v>
      </c>
      <c r="D7" s="607">
        <f>'6. sz.mell '!C29+'7. sz.mell .'!C31</f>
        <v>3717737551</v>
      </c>
      <c r="E7" s="606">
        <f t="shared" si="0"/>
        <v>0</v>
      </c>
    </row>
    <row r="8" spans="1:5" x14ac:dyDescent="0.2">
      <c r="A8" s="605" t="s">
        <v>687</v>
      </c>
      <c r="B8" s="606">
        <f>'1. sz.mell. '!C94</f>
        <v>8186535568</v>
      </c>
      <c r="C8" s="605" t="s">
        <v>688</v>
      </c>
      <c r="D8" s="607">
        <f>'6. sz.mell '!C30+'7. sz.mell .'!C32</f>
        <v>8186535568</v>
      </c>
      <c r="E8" s="606">
        <f t="shared" si="0"/>
        <v>0</v>
      </c>
    </row>
    <row r="9" spans="1:5" x14ac:dyDescent="0.2">
      <c r="A9" s="605"/>
      <c r="B9" s="606"/>
      <c r="C9" s="605"/>
      <c r="D9" s="607"/>
      <c r="E9" s="606"/>
    </row>
    <row r="10" spans="1:5" x14ac:dyDescent="0.2">
      <c r="A10" s="605"/>
      <c r="B10" s="606"/>
      <c r="C10" s="605"/>
      <c r="D10" s="607"/>
      <c r="E10" s="606"/>
    </row>
    <row r="11" spans="1:5" ht="15.75" x14ac:dyDescent="0.25">
      <c r="A11" s="608" t="s">
        <v>1012</v>
      </c>
      <c r="B11" s="609"/>
      <c r="C11" s="610"/>
      <c r="D11" s="607"/>
      <c r="E11" s="606"/>
    </row>
    <row r="12" spans="1:5" x14ac:dyDescent="0.2">
      <c r="A12" s="605"/>
      <c r="B12" s="606"/>
      <c r="C12" s="605"/>
      <c r="D12" s="607"/>
      <c r="E12" s="606"/>
    </row>
    <row r="13" spans="1:5" x14ac:dyDescent="0.2">
      <c r="A13" s="605" t="s">
        <v>689</v>
      </c>
      <c r="B13" s="606">
        <f>'1. sz.mell. '!C134</f>
        <v>7058731165</v>
      </c>
      <c r="C13" s="605" t="s">
        <v>690</v>
      </c>
      <c r="D13" s="607">
        <f>'6. sz.mell '!E18+'7. sz.mell .'!E18</f>
        <v>7058731165</v>
      </c>
      <c r="E13" s="606">
        <f t="shared" si="0"/>
        <v>0</v>
      </c>
    </row>
    <row r="14" spans="1:5" x14ac:dyDescent="0.2">
      <c r="A14" s="605" t="s">
        <v>691</v>
      </c>
      <c r="B14" s="606">
        <f>'1. sz.mell. '!C159</f>
        <v>1127804403</v>
      </c>
      <c r="C14" s="605" t="s">
        <v>692</v>
      </c>
      <c r="D14" s="607">
        <f>'6. sz.mell '!E29+'7. sz.mell .'!E31</f>
        <v>1127804403</v>
      </c>
      <c r="E14" s="606">
        <f t="shared" si="0"/>
        <v>0</v>
      </c>
    </row>
    <row r="15" spans="1:5" x14ac:dyDescent="0.2">
      <c r="A15" s="605" t="s">
        <v>693</v>
      </c>
      <c r="B15" s="606">
        <f>'1. sz.mell. '!C160</f>
        <v>8186535568</v>
      </c>
      <c r="C15" s="605" t="s">
        <v>694</v>
      </c>
      <c r="D15" s="607">
        <f>'6. sz.mell '!E30+'7. sz.mell .'!E32</f>
        <v>8186535568</v>
      </c>
      <c r="E15" s="606">
        <f t="shared" si="0"/>
        <v>0</v>
      </c>
    </row>
    <row r="16" spans="1:5" x14ac:dyDescent="0.2">
      <c r="A16" s="605"/>
      <c r="B16" s="605"/>
      <c r="C16" s="605"/>
      <c r="D16" s="607"/>
      <c r="E16" s="607"/>
    </row>
    <row r="17" spans="1:5" x14ac:dyDescent="0.2">
      <c r="A17" s="605"/>
      <c r="B17" s="605"/>
      <c r="C17" s="605"/>
      <c r="D17" s="605"/>
      <c r="E17" s="605"/>
    </row>
    <row r="18" spans="1:5" x14ac:dyDescent="0.2">
      <c r="A18" s="605"/>
      <c r="B18" s="605"/>
      <c r="C18" s="605"/>
      <c r="D18" s="605"/>
      <c r="E18" s="605"/>
    </row>
    <row r="19" spans="1:5" x14ac:dyDescent="0.2">
      <c r="A19" s="605"/>
      <c r="B19" s="605"/>
      <c r="C19" s="605"/>
      <c r="D19" s="605"/>
      <c r="E19" s="605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36</vt:i4>
      </vt:variant>
    </vt:vector>
  </HeadingPairs>
  <TitlesOfParts>
    <vt:vector size="82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'17. sz. mell. PH.'!Nyomtatási_terület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2023-02-24T11:06:59Z</cp:lastPrinted>
  <dcterms:created xsi:type="dcterms:W3CDTF">1999-10-30T10:30:45Z</dcterms:created>
  <dcterms:modified xsi:type="dcterms:W3CDTF">2023-02-24T11:10:29Z</dcterms:modified>
</cp:coreProperties>
</file>