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7740" tabRatio="967" firstSheet="22" activeTab="29"/>
  </bookViews>
  <sheets>
    <sheet name="Z_TARTALOMJEGYZÉK" sheetId="209" state="hidden" r:id="rId1"/>
    <sheet name="Z_ALAPADATOK" sheetId="94" r:id="rId2"/>
    <sheet name="Z_ÖSSZEFÜGGÉSEK" sheetId="75" state="hidden" r:id="rId3"/>
    <sheet name="Z_1.1.sz.mell." sheetId="1" r:id="rId4"/>
    <sheet name="Z_2.sz.mell" sheetId="73" r:id="rId5"/>
    <sheet name="Z_3.sz.mell" sheetId="61" r:id="rId6"/>
    <sheet name="Z_ELLENŐRZÉS" sheetId="76" state="hidden" r:id="rId7"/>
    <sheet name="Z_3.sz.mell." sheetId="63" r:id="rId8"/>
    <sheet name="Z_4.sz.mell." sheetId="64" r:id="rId9"/>
    <sheet name="Z_5.sz.mell." sheetId="213" r:id="rId10"/>
    <sheet name="Z_6.1.sz.mell" sheetId="3" r:id="rId11"/>
    <sheet name="Z_6.2.sz.mell" sheetId="79" r:id="rId12"/>
    <sheet name="Z_6.3.sz.mell" sheetId="105" r:id="rId13"/>
    <sheet name="Z_6.4.sz.mell" sheetId="145" r:id="rId14"/>
    <sheet name="Z_6.5.sz.mell" sheetId="149" r:id="rId15"/>
    <sheet name="Z_6.6.sz.mell" sheetId="153" r:id="rId16"/>
    <sheet name="Z_6.7.sz.mell" sheetId="157" r:id="rId17"/>
    <sheet name="Z_7.sz.mell" sheetId="211" r:id="rId18"/>
    <sheet name="Z_8.sz.mell" sheetId="210" r:id="rId19"/>
    <sheet name="Z_1.tájékoztató_t." sheetId="197" r:id="rId20"/>
    <sheet name="Z_2.tájékoztató_t." sheetId="198" r:id="rId21"/>
    <sheet name="Z_3.tájékoztató_t." sheetId="199" r:id="rId22"/>
    <sheet name="Z_4.tájékoztató_t." sheetId="200" r:id="rId23"/>
    <sheet name="Z_5.tájékoztató_t." sheetId="201" r:id="rId24"/>
    <sheet name="Z_6.tájékoztató_t." sheetId="202" r:id="rId25"/>
    <sheet name="Z_7.1.tájékoztató_t." sheetId="203" r:id="rId26"/>
    <sheet name="Z_7.2.tájékoztató_t." sheetId="204" r:id="rId27"/>
    <sheet name="Z_7.3.tájékoztató_t." sheetId="205" r:id="rId28"/>
    <sheet name="Z_8.tájékoztató_t." sheetId="207" r:id="rId29"/>
    <sheet name="Z_9.tájékoztató_t." sheetId="208" r:id="rId30"/>
  </sheets>
  <definedNames>
    <definedName name="_ftn1" localSheetId="27">Z_7.3.tájékoztató_t.!$A$31</definedName>
    <definedName name="_ftnref1" localSheetId="27">Z_7.3.tájékoztató_t.!$A$22</definedName>
    <definedName name="Print_Area" localSheetId="3">Z_1.1.sz.mell.!$A$1:$E$166</definedName>
    <definedName name="Print_Area" localSheetId="19">Z_1.tájékoztató_t.!$A$1:$E$157</definedName>
    <definedName name="Print_Titles" localSheetId="10">Z_6.1.sz.mell!$1:$6</definedName>
    <definedName name="Print_Titles" localSheetId="11">Z_6.2.sz.mell!$1:$6</definedName>
    <definedName name="Print_Titles" localSheetId="12">Z_6.3.sz.mell!$1:$6</definedName>
    <definedName name="Print_Titles" localSheetId="13">Z_6.4.sz.mell!$1:$6</definedName>
    <definedName name="Print_Titles" localSheetId="14">Z_6.5.sz.mell!$1:$6</definedName>
    <definedName name="Print_Titles" localSheetId="15">Z_6.6.sz.mell!$1:$6</definedName>
    <definedName name="Print_Titles" localSheetId="16">Z_6.7.sz.mell!$1:$6</definedName>
    <definedName name="Print_Titles" localSheetId="25">Z_7.1.tájékoztató_t.!$5:$9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205" l="1"/>
  <c r="C70" i="203"/>
  <c r="C66" i="203"/>
  <c r="C62" i="203"/>
  <c r="C57" i="203"/>
  <c r="C72" i="203" s="1"/>
  <c r="D11" i="205"/>
  <c r="D9" i="205"/>
  <c r="C9" i="205" l="1"/>
  <c r="I64" i="63" l="1"/>
  <c r="D12" i="205" l="1"/>
  <c r="M20" i="213" l="1"/>
  <c r="C26" i="79" l="1"/>
  <c r="D26" i="79"/>
  <c r="E26" i="79"/>
  <c r="C8" i="105"/>
  <c r="C36" i="105" s="1"/>
  <c r="C41" i="105" s="1"/>
  <c r="D8" i="105"/>
  <c r="D36" i="105" s="1"/>
  <c r="D41" i="105" s="1"/>
  <c r="C57" i="105"/>
  <c r="D57" i="105"/>
  <c r="C45" i="105"/>
  <c r="D45" i="105"/>
  <c r="C37" i="105"/>
  <c r="D37" i="105"/>
  <c r="C20" i="105"/>
  <c r="D20" i="105"/>
  <c r="D11" i="201" l="1"/>
  <c r="D32" i="201" s="1"/>
  <c r="C11" i="201"/>
  <c r="C32" i="201" s="1"/>
  <c r="D17" i="203" l="1"/>
  <c r="D37" i="203"/>
  <c r="D32" i="203"/>
  <c r="D27" i="203"/>
  <c r="D22" i="203"/>
  <c r="D12" i="203"/>
  <c r="D70" i="203"/>
  <c r="D66" i="203"/>
  <c r="D62" i="203"/>
  <c r="D57" i="203"/>
  <c r="E29" i="202"/>
  <c r="E28" i="202"/>
  <c r="E13" i="202"/>
  <c r="D25" i="202"/>
  <c r="E11" i="202"/>
  <c r="E8" i="198"/>
  <c r="F8" i="198"/>
  <c r="G8" i="198"/>
  <c r="H8" i="198"/>
  <c r="D8" i="198"/>
  <c r="J21" i="198"/>
  <c r="J22" i="198"/>
  <c r="I22" i="198"/>
  <c r="J20" i="198"/>
  <c r="I20" i="198"/>
  <c r="J17" i="198"/>
  <c r="I17" i="198"/>
  <c r="J16" i="198"/>
  <c r="J13" i="198"/>
  <c r="I12" i="198"/>
  <c r="I8" i="198" s="1"/>
  <c r="J12" i="198"/>
  <c r="J9" i="198"/>
  <c r="J8" i="198" s="1"/>
  <c r="D11" i="203" l="1"/>
  <c r="D54" i="203" s="1"/>
  <c r="D72" i="203" s="1"/>
  <c r="E31" i="202"/>
  <c r="C12" i="200"/>
  <c r="C7" i="208" l="1"/>
  <c r="E9" i="211"/>
  <c r="E10" i="211"/>
  <c r="E11" i="211"/>
  <c r="E12" i="211"/>
  <c r="E37" i="157"/>
  <c r="E30" i="157"/>
  <c r="E26" i="157"/>
  <c r="E20" i="157"/>
  <c r="E8" i="157"/>
  <c r="E36" i="157" s="1"/>
  <c r="E41" i="157" s="1"/>
  <c r="E51" i="157"/>
  <c r="E45" i="157"/>
  <c r="E57" i="157" s="1"/>
  <c r="E26" i="149"/>
  <c r="E37" i="149"/>
  <c r="E30" i="149"/>
  <c r="E20" i="149"/>
  <c r="E8" i="149"/>
  <c r="E51" i="149"/>
  <c r="E45" i="149"/>
  <c r="E37" i="145"/>
  <c r="E8" i="145"/>
  <c r="E36" i="145" s="1"/>
  <c r="E51" i="145"/>
  <c r="E57" i="145" s="1"/>
  <c r="E45" i="145"/>
  <c r="E8" i="105"/>
  <c r="E20" i="105"/>
  <c r="E37" i="105"/>
  <c r="E51" i="105"/>
  <c r="E45" i="105"/>
  <c r="E57" i="105" s="1"/>
  <c r="E11" i="3"/>
  <c r="E108" i="1"/>
  <c r="M16" i="213"/>
  <c r="L16" i="213"/>
  <c r="L17" i="213"/>
  <c r="L18" i="213"/>
  <c r="L19" i="213"/>
  <c r="H12" i="213"/>
  <c r="H13" i="213"/>
  <c r="H14" i="213"/>
  <c r="H15" i="213"/>
  <c r="H16" i="213"/>
  <c r="H17" i="213"/>
  <c r="H18" i="213"/>
  <c r="H19" i="213"/>
  <c r="H9" i="213"/>
  <c r="M15" i="213"/>
  <c r="M9" i="213"/>
  <c r="M14" i="213"/>
  <c r="M13" i="213"/>
  <c r="I12" i="213"/>
  <c r="M12" i="213"/>
  <c r="K10" i="213"/>
  <c r="M10" i="213"/>
  <c r="E10" i="213"/>
  <c r="H10" i="213" s="1"/>
  <c r="M8" i="213"/>
  <c r="E8" i="213"/>
  <c r="E7" i="213"/>
  <c r="M7" i="213"/>
  <c r="E7" i="64"/>
  <c r="H7" i="64"/>
  <c r="I29" i="64"/>
  <c r="I27" i="64"/>
  <c r="I9" i="64"/>
  <c r="I10" i="64"/>
  <c r="I11" i="64"/>
  <c r="I12" i="64"/>
  <c r="I13" i="64"/>
  <c r="I14" i="64"/>
  <c r="I15" i="64"/>
  <c r="I16" i="64"/>
  <c r="I17" i="64"/>
  <c r="I18" i="64"/>
  <c r="I19" i="64"/>
  <c r="I20" i="64"/>
  <c r="I21" i="64"/>
  <c r="I22" i="64"/>
  <c r="I23" i="64"/>
  <c r="I24" i="64"/>
  <c r="I25" i="64"/>
  <c r="I8" i="64"/>
  <c r="G50" i="63"/>
  <c r="H20" i="213" l="1"/>
  <c r="E41" i="145"/>
  <c r="E57" i="149"/>
  <c r="E36" i="149"/>
  <c r="E41" i="149" s="1"/>
  <c r="E36" i="105"/>
  <c r="E41" i="105" s="1"/>
  <c r="G15" i="63" l="1"/>
  <c r="G24" i="63" l="1"/>
  <c r="G7" i="63" s="1"/>
  <c r="I9" i="63"/>
  <c r="I26" i="64"/>
  <c r="G26" i="64"/>
  <c r="F26" i="64"/>
  <c r="D26" i="64"/>
  <c r="C26" i="64"/>
  <c r="B26" i="64"/>
  <c r="I50" i="63" l="1"/>
  <c r="I51" i="63"/>
  <c r="I46" i="63"/>
  <c r="I52" i="63"/>
  <c r="I49" i="63"/>
  <c r="I48" i="63"/>
  <c r="I47" i="63"/>
  <c r="I44" i="63"/>
  <c r="I60" i="63"/>
  <c r="I61" i="63"/>
  <c r="I62" i="63"/>
  <c r="I63" i="63"/>
  <c r="C28" i="64"/>
  <c r="D28" i="64"/>
  <c r="F28" i="64"/>
  <c r="G28" i="64"/>
  <c r="I28" i="64"/>
  <c r="B28" i="64"/>
  <c r="I42" i="63"/>
  <c r="G38" i="63"/>
  <c r="G40" i="63"/>
  <c r="H11" i="73"/>
  <c r="G11" i="73"/>
  <c r="C11" i="1" l="1"/>
  <c r="C20" i="1"/>
  <c r="C27" i="1"/>
  <c r="C34" i="1"/>
  <c r="C41" i="1"/>
  <c r="C53" i="1"/>
  <c r="C59" i="1"/>
  <c r="C64" i="1"/>
  <c r="C70" i="1"/>
  <c r="C74" i="1"/>
  <c r="C79" i="1"/>
  <c r="C15" i="73" s="1"/>
  <c r="C82" i="1"/>
  <c r="C86" i="1"/>
  <c r="C93" i="1" l="1"/>
  <c r="C69" i="1"/>
  <c r="L15" i="213"/>
  <c r="L14" i="213"/>
  <c r="L13" i="213"/>
  <c r="L12" i="213"/>
  <c r="L10" i="213"/>
  <c r="L8" i="213"/>
  <c r="I8" i="213"/>
  <c r="H8" i="213"/>
  <c r="L7" i="213"/>
  <c r="H7" i="213"/>
  <c r="G15" i="211" l="1"/>
  <c r="L26" i="1" l="1"/>
  <c r="C59" i="63" l="1"/>
  <c r="D59" i="63"/>
  <c r="E59" i="63"/>
  <c r="F59" i="63"/>
  <c r="G59" i="63"/>
  <c r="H59" i="63"/>
  <c r="I59" i="63"/>
  <c r="B59" i="63"/>
  <c r="C53" i="63"/>
  <c r="D53" i="63"/>
  <c r="E53" i="63"/>
  <c r="F53" i="63"/>
  <c r="G53" i="63"/>
  <c r="H53" i="63"/>
  <c r="I53" i="63"/>
  <c r="B53" i="63"/>
  <c r="C43" i="63"/>
  <c r="D43" i="63"/>
  <c r="E43" i="63"/>
  <c r="F43" i="63"/>
  <c r="G43" i="63"/>
  <c r="H43" i="63"/>
  <c r="I43" i="63"/>
  <c r="B43" i="63"/>
  <c r="C41" i="63"/>
  <c r="D41" i="63"/>
  <c r="E41" i="63"/>
  <c r="F41" i="63"/>
  <c r="G41" i="63"/>
  <c r="H41" i="63"/>
  <c r="I41" i="63"/>
  <c r="B41" i="63"/>
  <c r="C37" i="63"/>
  <c r="D37" i="63"/>
  <c r="E37" i="63"/>
  <c r="F37" i="63"/>
  <c r="H37" i="63"/>
  <c r="H7" i="63"/>
  <c r="L106" i="1"/>
  <c r="M106" i="1"/>
  <c r="N106" i="1"/>
  <c r="H64" i="63" l="1"/>
  <c r="E26" i="198"/>
  <c r="F26" i="198"/>
  <c r="G26" i="198"/>
  <c r="H26" i="198"/>
  <c r="I26" i="198"/>
  <c r="D26" i="198"/>
  <c r="E157" i="197"/>
  <c r="D157" i="197"/>
  <c r="E156" i="197"/>
  <c r="D156" i="197"/>
  <c r="E155" i="197"/>
  <c r="D155" i="197"/>
  <c r="E154" i="197"/>
  <c r="D154" i="197"/>
  <c r="E153" i="197"/>
  <c r="D153" i="197"/>
  <c r="E152" i="197"/>
  <c r="D152" i="197"/>
  <c r="E151" i="197"/>
  <c r="D151" i="197"/>
  <c r="E149" i="197"/>
  <c r="D149" i="197"/>
  <c r="E148" i="197"/>
  <c r="D148" i="197"/>
  <c r="E147" i="197"/>
  <c r="D147" i="197"/>
  <c r="E146" i="197"/>
  <c r="D146" i="197"/>
  <c r="E144" i="197"/>
  <c r="D144" i="197"/>
  <c r="E143" i="197"/>
  <c r="D143" i="197"/>
  <c r="E142" i="197"/>
  <c r="D142" i="197"/>
  <c r="E141" i="197"/>
  <c r="D141" i="197"/>
  <c r="E140" i="197"/>
  <c r="D140" i="197"/>
  <c r="E139" i="197"/>
  <c r="D139" i="197"/>
  <c r="E137" i="197"/>
  <c r="D137" i="197"/>
  <c r="E136" i="197"/>
  <c r="D136" i="197"/>
  <c r="E135" i="197"/>
  <c r="D135" i="197"/>
  <c r="E132" i="197"/>
  <c r="D132" i="197"/>
  <c r="E131" i="197"/>
  <c r="D131" i="197"/>
  <c r="E130" i="197"/>
  <c r="D130" i="197"/>
  <c r="E129" i="197"/>
  <c r="D129" i="197"/>
  <c r="E128" i="197"/>
  <c r="D128" i="197"/>
  <c r="E127" i="197"/>
  <c r="D127" i="197"/>
  <c r="E126" i="197"/>
  <c r="D126" i="197"/>
  <c r="E125" i="197"/>
  <c r="D125" i="197"/>
  <c r="E123" i="197"/>
  <c r="D123" i="197"/>
  <c r="E122" i="197"/>
  <c r="D122" i="197"/>
  <c r="E121" i="197"/>
  <c r="D121" i="197"/>
  <c r="E120" i="197"/>
  <c r="D120" i="197"/>
  <c r="E118" i="197"/>
  <c r="D118" i="197"/>
  <c r="E117" i="197"/>
  <c r="D117" i="197"/>
  <c r="E115" i="197"/>
  <c r="D115" i="197"/>
  <c r="E114" i="197"/>
  <c r="D114" i="197"/>
  <c r="E113" i="197"/>
  <c r="D113" i="197"/>
  <c r="E112" i="197"/>
  <c r="D112" i="197"/>
  <c r="E111" i="197"/>
  <c r="D111" i="197"/>
  <c r="E110" i="197"/>
  <c r="D110" i="197"/>
  <c r="E109" i="197"/>
  <c r="D109" i="197"/>
  <c r="E108" i="197"/>
  <c r="D108" i="197"/>
  <c r="E107" i="197"/>
  <c r="D107" i="197"/>
  <c r="E106" i="197"/>
  <c r="D106" i="197"/>
  <c r="E105" i="197"/>
  <c r="D105" i="197"/>
  <c r="E103" i="197"/>
  <c r="D103" i="197"/>
  <c r="E102" i="197"/>
  <c r="D102" i="197"/>
  <c r="E101" i="197"/>
  <c r="D101" i="197"/>
  <c r="E100" i="197"/>
  <c r="D100" i="197"/>
  <c r="E90" i="197"/>
  <c r="D90" i="197"/>
  <c r="E89" i="197"/>
  <c r="D89" i="197"/>
  <c r="E88" i="197"/>
  <c r="D88" i="197"/>
  <c r="E87" i="197"/>
  <c r="D87" i="197"/>
  <c r="E86" i="197"/>
  <c r="D86" i="197"/>
  <c r="E85" i="197"/>
  <c r="D85" i="197"/>
  <c r="E83" i="197"/>
  <c r="D83" i="197"/>
  <c r="E82" i="197"/>
  <c r="D82" i="197"/>
  <c r="E81" i="197"/>
  <c r="D81" i="197"/>
  <c r="E79" i="197"/>
  <c r="D79" i="197"/>
  <c r="E78" i="197"/>
  <c r="D78" i="197"/>
  <c r="E76" i="197"/>
  <c r="D76" i="197"/>
  <c r="E75" i="197"/>
  <c r="D75" i="197"/>
  <c r="E74" i="197"/>
  <c r="D74" i="197"/>
  <c r="E73" i="197"/>
  <c r="D73" i="197"/>
  <c r="E71" i="197"/>
  <c r="D71" i="197"/>
  <c r="E70" i="197"/>
  <c r="D70" i="197"/>
  <c r="E69" i="197"/>
  <c r="D69" i="197"/>
  <c r="E66" i="197"/>
  <c r="D66" i="197"/>
  <c r="E65" i="197"/>
  <c r="D65" i="197"/>
  <c r="E64" i="197"/>
  <c r="D64" i="197"/>
  <c r="E63" i="197"/>
  <c r="D63" i="197"/>
  <c r="E61" i="197"/>
  <c r="D61" i="197"/>
  <c r="E60" i="197"/>
  <c r="D60" i="197"/>
  <c r="E59" i="197"/>
  <c r="D59" i="197"/>
  <c r="E58" i="197"/>
  <c r="D58" i="197"/>
  <c r="E56" i="197"/>
  <c r="D56" i="197"/>
  <c r="E55" i="197"/>
  <c r="D55" i="197"/>
  <c r="E54" i="197"/>
  <c r="D54" i="197"/>
  <c r="E53" i="197"/>
  <c r="D53" i="197"/>
  <c r="E52" i="197"/>
  <c r="D52" i="197"/>
  <c r="E50" i="197"/>
  <c r="D50" i="197"/>
  <c r="E49" i="197"/>
  <c r="D49" i="197"/>
  <c r="E48" i="197"/>
  <c r="D48" i="197"/>
  <c r="E47" i="197"/>
  <c r="D47" i="197"/>
  <c r="E46" i="197"/>
  <c r="D46" i="197"/>
  <c r="E45" i="197"/>
  <c r="D45" i="197"/>
  <c r="E44" i="197"/>
  <c r="D44" i="197"/>
  <c r="E43" i="197"/>
  <c r="D43" i="197"/>
  <c r="E42" i="197"/>
  <c r="D42" i="197"/>
  <c r="E41" i="197"/>
  <c r="D41" i="197"/>
  <c r="E40" i="197"/>
  <c r="D40" i="197"/>
  <c r="E38" i="197"/>
  <c r="D38" i="197"/>
  <c r="E37" i="197"/>
  <c r="D37" i="197"/>
  <c r="E36" i="197"/>
  <c r="D36" i="197"/>
  <c r="E35" i="197"/>
  <c r="D35" i="197"/>
  <c r="E34" i="197"/>
  <c r="D34" i="197"/>
  <c r="E31" i="197"/>
  <c r="D31" i="197"/>
  <c r="E30" i="197"/>
  <c r="D30" i="197"/>
  <c r="E29" i="197"/>
  <c r="D29" i="197"/>
  <c r="E28" i="197"/>
  <c r="D28" i="197"/>
  <c r="E27" i="197"/>
  <c r="D27" i="197"/>
  <c r="E26" i="197"/>
  <c r="D26" i="197"/>
  <c r="E24" i="197"/>
  <c r="D24" i="197"/>
  <c r="E23" i="197"/>
  <c r="D23" i="197"/>
  <c r="E22" i="197"/>
  <c r="D22" i="197"/>
  <c r="E21" i="197"/>
  <c r="D21" i="197"/>
  <c r="E20" i="197"/>
  <c r="D20" i="197"/>
  <c r="E19" i="197"/>
  <c r="D19" i="197"/>
  <c r="E17" i="197"/>
  <c r="D17" i="197"/>
  <c r="E16" i="197"/>
  <c r="D16" i="197"/>
  <c r="E15" i="197"/>
  <c r="D15" i="197"/>
  <c r="E14" i="197"/>
  <c r="D14" i="197"/>
  <c r="E13" i="197"/>
  <c r="D13" i="197"/>
  <c r="E11" i="197"/>
  <c r="D11" i="197"/>
  <c r="E10" i="197"/>
  <c r="D10" i="197"/>
  <c r="C13" i="208" l="1"/>
  <c r="C7" i="64"/>
  <c r="D7" i="64"/>
  <c r="D30" i="64" s="1"/>
  <c r="F7" i="64"/>
  <c r="F30" i="64" s="1"/>
  <c r="G7" i="64"/>
  <c r="G30" i="64" s="1"/>
  <c r="B7" i="64"/>
  <c r="B30" i="64" s="1"/>
  <c r="G37" i="63"/>
  <c r="I7" i="64" l="1"/>
  <c r="I30" i="64" s="1"/>
  <c r="I26" i="63"/>
  <c r="I14" i="63"/>
  <c r="I12" i="63"/>
  <c r="I13" i="63"/>
  <c r="I15" i="63"/>
  <c r="I17" i="63"/>
  <c r="I18" i="63"/>
  <c r="I19" i="63"/>
  <c r="I20" i="63"/>
  <c r="I21" i="63"/>
  <c r="I22" i="63"/>
  <c r="I23" i="63"/>
  <c r="I24" i="63"/>
  <c r="I27" i="63"/>
  <c r="I28" i="63"/>
  <c r="I29" i="63"/>
  <c r="I30" i="63"/>
  <c r="I31" i="63"/>
  <c r="I32" i="63"/>
  <c r="I33" i="63"/>
  <c r="I35" i="63"/>
  <c r="I38" i="63"/>
  <c r="I39" i="63"/>
  <c r="I40" i="63"/>
  <c r="I8" i="63"/>
  <c r="I36" i="63"/>
  <c r="I37" i="63" l="1"/>
  <c r="I34" i="63"/>
  <c r="I25" i="63" l="1"/>
  <c r="I16" i="63" l="1"/>
  <c r="G64" i="63" l="1"/>
  <c r="I10" i="63"/>
  <c r="I11" i="63"/>
  <c r="I7" i="63" l="1"/>
  <c r="F7" i="63"/>
  <c r="F64" i="63" s="1"/>
  <c r="E7" i="63"/>
  <c r="E64" i="63" s="1"/>
  <c r="D7" i="63"/>
  <c r="D64" i="63" s="1"/>
  <c r="B7" i="63"/>
  <c r="B37" i="63"/>
  <c r="B64" i="63" l="1"/>
  <c r="H23" i="73"/>
  <c r="I23" i="73"/>
  <c r="G23" i="73"/>
  <c r="H16" i="61"/>
  <c r="I16" i="61"/>
  <c r="G16" i="61"/>
  <c r="D23" i="73"/>
  <c r="E23" i="73"/>
  <c r="C23" i="73"/>
  <c r="I9" i="61"/>
  <c r="H9" i="61"/>
  <c r="H8" i="61"/>
  <c r="I8" i="61"/>
  <c r="G8" i="61"/>
  <c r="G9" i="61"/>
  <c r="H7" i="61"/>
  <c r="I7" i="61"/>
  <c r="G7" i="61"/>
  <c r="H6" i="61"/>
  <c r="I6" i="61"/>
  <c r="G6" i="61"/>
  <c r="D20" i="61"/>
  <c r="E20" i="61"/>
  <c r="C20" i="61"/>
  <c r="D10" i="61"/>
  <c r="E10" i="61"/>
  <c r="C10" i="61"/>
  <c r="D7" i="61"/>
  <c r="E7" i="61"/>
  <c r="C7" i="61"/>
  <c r="H15" i="73"/>
  <c r="I15" i="73"/>
  <c r="G15" i="73"/>
  <c r="H9" i="73"/>
  <c r="I9" i="73"/>
  <c r="G9" i="73"/>
  <c r="H8" i="73"/>
  <c r="I8" i="73"/>
  <c r="H7" i="73"/>
  <c r="I7" i="73"/>
  <c r="G7" i="73"/>
  <c r="G8" i="73"/>
  <c r="H6" i="73"/>
  <c r="I6" i="73"/>
  <c r="G6" i="73"/>
  <c r="D21" i="73"/>
  <c r="D20" i="73" s="1"/>
  <c r="E21" i="73"/>
  <c r="E20" i="73" s="1"/>
  <c r="C21" i="73"/>
  <c r="C20" i="73" s="1"/>
  <c r="E12" i="73"/>
  <c r="D12" i="73"/>
  <c r="C12" i="73"/>
  <c r="D8" i="73"/>
  <c r="E8" i="73"/>
  <c r="C8" i="73"/>
  <c r="D86" i="1"/>
  <c r="D84" i="197" s="1"/>
  <c r="E86" i="1"/>
  <c r="D82" i="1"/>
  <c r="D80" i="197" s="1"/>
  <c r="E82" i="1"/>
  <c r="D79" i="1"/>
  <c r="D15" i="73" s="1"/>
  <c r="E79" i="1"/>
  <c r="D74" i="1"/>
  <c r="D72" i="197" s="1"/>
  <c r="E74" i="1"/>
  <c r="D70" i="1"/>
  <c r="D68" i="197" s="1"/>
  <c r="E70" i="1"/>
  <c r="C9" i="61"/>
  <c r="D64" i="1"/>
  <c r="E64" i="1"/>
  <c r="D59" i="1"/>
  <c r="E59" i="1"/>
  <c r="C8" i="61"/>
  <c r="D53" i="1"/>
  <c r="D51" i="197" s="1"/>
  <c r="E53" i="1"/>
  <c r="D33" i="197"/>
  <c r="E35" i="1"/>
  <c r="C10" i="73"/>
  <c r="D41" i="1"/>
  <c r="E41" i="1"/>
  <c r="D34" i="1"/>
  <c r="E34" i="1"/>
  <c r="C6" i="61"/>
  <c r="D27" i="1"/>
  <c r="E27" i="1"/>
  <c r="C7" i="73"/>
  <c r="D20" i="1"/>
  <c r="E20" i="1"/>
  <c r="C6" i="73"/>
  <c r="E14" i="1"/>
  <c r="D116" i="197"/>
  <c r="E118" i="1"/>
  <c r="E106" i="1"/>
  <c r="G10" i="73"/>
  <c r="E126" i="1"/>
  <c r="C121" i="1"/>
  <c r="C152" i="1"/>
  <c r="C147" i="1" s="1"/>
  <c r="D152" i="1"/>
  <c r="D150" i="197" s="1"/>
  <c r="E152" i="1"/>
  <c r="C140" i="1"/>
  <c r="D140" i="1"/>
  <c r="D138" i="197" s="1"/>
  <c r="E140" i="1"/>
  <c r="C136" i="1"/>
  <c r="D136" i="1"/>
  <c r="D134" i="197" s="1"/>
  <c r="E136" i="1"/>
  <c r="E121" i="1"/>
  <c r="Q159" i="1"/>
  <c r="P159" i="1"/>
  <c r="O159" i="1"/>
  <c r="Q158" i="1"/>
  <c r="P158" i="1"/>
  <c r="O158" i="1"/>
  <c r="Q157" i="1"/>
  <c r="P157" i="1"/>
  <c r="O157" i="1"/>
  <c r="Q156" i="1"/>
  <c r="P156" i="1"/>
  <c r="O156" i="1"/>
  <c r="Q155" i="1"/>
  <c r="P155" i="1"/>
  <c r="O155" i="1"/>
  <c r="Q154" i="1"/>
  <c r="P154" i="1"/>
  <c r="O154" i="1"/>
  <c r="Q153" i="1"/>
  <c r="P153" i="1"/>
  <c r="O153" i="1"/>
  <c r="Q151" i="1"/>
  <c r="P151" i="1"/>
  <c r="O151" i="1"/>
  <c r="Q150" i="1"/>
  <c r="P150" i="1"/>
  <c r="O150" i="1"/>
  <c r="Q149" i="1"/>
  <c r="P149" i="1"/>
  <c r="O149" i="1"/>
  <c r="Q148" i="1"/>
  <c r="P148" i="1"/>
  <c r="O148" i="1"/>
  <c r="Q146" i="1"/>
  <c r="P146" i="1"/>
  <c r="O146" i="1"/>
  <c r="Q145" i="1"/>
  <c r="P145" i="1"/>
  <c r="O145" i="1"/>
  <c r="Q144" i="1"/>
  <c r="P144" i="1"/>
  <c r="O144" i="1"/>
  <c r="Q143" i="1"/>
  <c r="P143" i="1"/>
  <c r="O143" i="1"/>
  <c r="Q142" i="1"/>
  <c r="P142" i="1"/>
  <c r="O142" i="1"/>
  <c r="Q141" i="1"/>
  <c r="P141" i="1"/>
  <c r="O141" i="1"/>
  <c r="Q139" i="1"/>
  <c r="P139" i="1"/>
  <c r="O139" i="1"/>
  <c r="Q138" i="1"/>
  <c r="P138" i="1"/>
  <c r="O138" i="1"/>
  <c r="Q137" i="1"/>
  <c r="P137" i="1"/>
  <c r="O137" i="1"/>
  <c r="Q134" i="1"/>
  <c r="P134" i="1"/>
  <c r="O134" i="1"/>
  <c r="Q133" i="1"/>
  <c r="P133" i="1"/>
  <c r="O133" i="1"/>
  <c r="Q132" i="1"/>
  <c r="P132" i="1"/>
  <c r="O132" i="1"/>
  <c r="Q131" i="1"/>
  <c r="P131" i="1"/>
  <c r="O131" i="1"/>
  <c r="Q130" i="1"/>
  <c r="P130" i="1"/>
  <c r="O130" i="1"/>
  <c r="Q129" i="1"/>
  <c r="P129" i="1"/>
  <c r="O129" i="1"/>
  <c r="Q128" i="1"/>
  <c r="P128" i="1"/>
  <c r="O128" i="1"/>
  <c r="Q127" i="1"/>
  <c r="P127" i="1"/>
  <c r="O127" i="1"/>
  <c r="Q125" i="1"/>
  <c r="P125" i="1"/>
  <c r="O125" i="1"/>
  <c r="Q124" i="1"/>
  <c r="P124" i="1"/>
  <c r="O124" i="1"/>
  <c r="Q123" i="1"/>
  <c r="P123" i="1"/>
  <c r="O123" i="1"/>
  <c r="Q122" i="1"/>
  <c r="P122" i="1"/>
  <c r="O122" i="1"/>
  <c r="Q120" i="1"/>
  <c r="P120" i="1"/>
  <c r="O120" i="1"/>
  <c r="Q119" i="1"/>
  <c r="P119" i="1"/>
  <c r="O119" i="1"/>
  <c r="Q117" i="1"/>
  <c r="P117" i="1"/>
  <c r="O117" i="1"/>
  <c r="Q116" i="1"/>
  <c r="P116" i="1"/>
  <c r="O116" i="1"/>
  <c r="Q115" i="1"/>
  <c r="P115" i="1"/>
  <c r="O115" i="1"/>
  <c r="Q114" i="1"/>
  <c r="P114" i="1"/>
  <c r="O114" i="1"/>
  <c r="Q113" i="1"/>
  <c r="P113" i="1"/>
  <c r="O113" i="1"/>
  <c r="Q112" i="1"/>
  <c r="P112" i="1"/>
  <c r="O112" i="1"/>
  <c r="Q111" i="1"/>
  <c r="P111" i="1"/>
  <c r="O111" i="1"/>
  <c r="Q110" i="1"/>
  <c r="P110" i="1"/>
  <c r="O110" i="1"/>
  <c r="Q109" i="1"/>
  <c r="P109" i="1"/>
  <c r="O109" i="1"/>
  <c r="Q108" i="1"/>
  <c r="P108" i="1"/>
  <c r="O108" i="1"/>
  <c r="Q107" i="1"/>
  <c r="P107" i="1"/>
  <c r="O107" i="1"/>
  <c r="Q105" i="1"/>
  <c r="P105" i="1"/>
  <c r="O105" i="1"/>
  <c r="Q104" i="1"/>
  <c r="P104" i="1"/>
  <c r="O104" i="1"/>
  <c r="Q103" i="1"/>
  <c r="P103" i="1"/>
  <c r="O103" i="1"/>
  <c r="Q102" i="1"/>
  <c r="P102" i="1"/>
  <c r="O102" i="1"/>
  <c r="Q92" i="1"/>
  <c r="P92" i="1"/>
  <c r="O92" i="1"/>
  <c r="Q91" i="1"/>
  <c r="P91" i="1"/>
  <c r="O91" i="1"/>
  <c r="Q90" i="1"/>
  <c r="P90" i="1"/>
  <c r="O90" i="1"/>
  <c r="Q89" i="1"/>
  <c r="P89" i="1"/>
  <c r="O89" i="1"/>
  <c r="Q88" i="1"/>
  <c r="P88" i="1"/>
  <c r="O88" i="1"/>
  <c r="Q87" i="1"/>
  <c r="P87" i="1"/>
  <c r="O87" i="1"/>
  <c r="Q85" i="1"/>
  <c r="P85" i="1"/>
  <c r="O85" i="1"/>
  <c r="Q84" i="1"/>
  <c r="P84" i="1"/>
  <c r="O84" i="1"/>
  <c r="Q83" i="1"/>
  <c r="P83" i="1"/>
  <c r="O83" i="1"/>
  <c r="Q81" i="1"/>
  <c r="P81" i="1"/>
  <c r="O81" i="1"/>
  <c r="Q80" i="1"/>
  <c r="P80" i="1"/>
  <c r="O80" i="1"/>
  <c r="Q78" i="1"/>
  <c r="P78" i="1"/>
  <c r="O78" i="1"/>
  <c r="Q77" i="1"/>
  <c r="P77" i="1"/>
  <c r="O77" i="1"/>
  <c r="Q76" i="1"/>
  <c r="P76" i="1"/>
  <c r="O76" i="1"/>
  <c r="Q75" i="1"/>
  <c r="P75" i="1"/>
  <c r="O75" i="1"/>
  <c r="Q73" i="1"/>
  <c r="P73" i="1"/>
  <c r="O73" i="1"/>
  <c r="Q72" i="1"/>
  <c r="P72" i="1"/>
  <c r="O72" i="1"/>
  <c r="Q71" i="1"/>
  <c r="P71" i="1"/>
  <c r="O71" i="1"/>
  <c r="Q68" i="1"/>
  <c r="P68" i="1"/>
  <c r="O68" i="1"/>
  <c r="Q67" i="1"/>
  <c r="P67" i="1"/>
  <c r="O67" i="1"/>
  <c r="Q66" i="1"/>
  <c r="P66" i="1"/>
  <c r="O66" i="1"/>
  <c r="Q65" i="1"/>
  <c r="P65" i="1"/>
  <c r="O65" i="1"/>
  <c r="Q63" i="1"/>
  <c r="P63" i="1"/>
  <c r="O63" i="1"/>
  <c r="Q62" i="1"/>
  <c r="P62" i="1"/>
  <c r="O62" i="1"/>
  <c r="Q61" i="1"/>
  <c r="P61" i="1"/>
  <c r="O61" i="1"/>
  <c r="Q60" i="1"/>
  <c r="P60" i="1"/>
  <c r="O60" i="1"/>
  <c r="Q58" i="1"/>
  <c r="P58" i="1"/>
  <c r="O58" i="1"/>
  <c r="Q57" i="1"/>
  <c r="P57" i="1"/>
  <c r="O57" i="1"/>
  <c r="Q56" i="1"/>
  <c r="P56" i="1"/>
  <c r="O56" i="1"/>
  <c r="Q55" i="1"/>
  <c r="P55" i="1"/>
  <c r="O55" i="1"/>
  <c r="Q54" i="1"/>
  <c r="P54" i="1"/>
  <c r="O54" i="1"/>
  <c r="Q52" i="1"/>
  <c r="P52" i="1"/>
  <c r="O52" i="1"/>
  <c r="Q51" i="1"/>
  <c r="P51" i="1"/>
  <c r="O51" i="1"/>
  <c r="Q50" i="1"/>
  <c r="P50" i="1"/>
  <c r="O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5" i="1"/>
  <c r="Q44" i="1"/>
  <c r="P44" i="1"/>
  <c r="O44" i="1"/>
  <c r="Q43" i="1"/>
  <c r="P43" i="1"/>
  <c r="O43" i="1"/>
  <c r="Q42" i="1"/>
  <c r="P42" i="1"/>
  <c r="O42" i="1"/>
  <c r="Q40" i="1"/>
  <c r="P40" i="1"/>
  <c r="O40" i="1"/>
  <c r="Q39" i="1"/>
  <c r="P39" i="1"/>
  <c r="O39" i="1"/>
  <c r="Q38" i="1"/>
  <c r="P38" i="1"/>
  <c r="O38" i="1"/>
  <c r="Q37" i="1"/>
  <c r="P37" i="1"/>
  <c r="O37" i="1"/>
  <c r="Q36" i="1"/>
  <c r="P36" i="1"/>
  <c r="O36" i="1"/>
  <c r="Q33" i="1"/>
  <c r="P33" i="1"/>
  <c r="O33" i="1"/>
  <c r="Q32" i="1"/>
  <c r="P32" i="1"/>
  <c r="O32" i="1"/>
  <c r="Q31" i="1"/>
  <c r="P31" i="1"/>
  <c r="O31" i="1"/>
  <c r="Q30" i="1"/>
  <c r="P30" i="1"/>
  <c r="O30" i="1"/>
  <c r="Q29" i="1"/>
  <c r="P29" i="1"/>
  <c r="O29" i="1"/>
  <c r="Q28" i="1"/>
  <c r="P28" i="1"/>
  <c r="O28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19" i="1"/>
  <c r="P19" i="1"/>
  <c r="O19" i="1"/>
  <c r="Q18" i="1"/>
  <c r="P18" i="1"/>
  <c r="O18" i="1"/>
  <c r="Q17" i="1"/>
  <c r="P17" i="1"/>
  <c r="O17" i="1"/>
  <c r="Q16" i="1"/>
  <c r="P16" i="1"/>
  <c r="O16" i="1"/>
  <c r="Q15" i="1"/>
  <c r="P15" i="1"/>
  <c r="O15" i="1"/>
  <c r="Q13" i="1"/>
  <c r="P13" i="1"/>
  <c r="O13" i="1"/>
  <c r="Q12" i="1"/>
  <c r="P12" i="1"/>
  <c r="O12" i="1"/>
  <c r="P99" i="1"/>
  <c r="O99" i="1"/>
  <c r="Q97" i="1"/>
  <c r="Q164" i="1" s="1"/>
  <c r="P97" i="1"/>
  <c r="P164" i="1" s="1"/>
  <c r="O97" i="1"/>
  <c r="O164" i="1" s="1"/>
  <c r="H140" i="1"/>
  <c r="G140" i="1"/>
  <c r="F140" i="1"/>
  <c r="H136" i="1"/>
  <c r="G136" i="1"/>
  <c r="F136" i="1"/>
  <c r="H126" i="1"/>
  <c r="H121" i="1" s="1"/>
  <c r="G126" i="1"/>
  <c r="G121" i="1" s="1"/>
  <c r="F126" i="1"/>
  <c r="F121" i="1" s="1"/>
  <c r="H118" i="1"/>
  <c r="G118" i="1"/>
  <c r="F118" i="1"/>
  <c r="H106" i="1"/>
  <c r="G106" i="1"/>
  <c r="F106" i="1"/>
  <c r="F152" i="1"/>
  <c r="G152" i="1"/>
  <c r="H152" i="1"/>
  <c r="H86" i="1"/>
  <c r="G86" i="1"/>
  <c r="F86" i="1"/>
  <c r="H82" i="1"/>
  <c r="G82" i="1"/>
  <c r="F82" i="1"/>
  <c r="H79" i="1"/>
  <c r="G79" i="1"/>
  <c r="F79" i="1"/>
  <c r="H74" i="1"/>
  <c r="G74" i="1"/>
  <c r="F74" i="1"/>
  <c r="H70" i="1"/>
  <c r="G70" i="1"/>
  <c r="F70" i="1"/>
  <c r="H64" i="1"/>
  <c r="G64" i="1"/>
  <c r="F64" i="1"/>
  <c r="H59" i="1"/>
  <c r="G59" i="1"/>
  <c r="F59" i="1"/>
  <c r="H53" i="1"/>
  <c r="G53" i="1"/>
  <c r="F53" i="1"/>
  <c r="H41" i="1"/>
  <c r="G41" i="1"/>
  <c r="F41" i="1"/>
  <c r="H35" i="1"/>
  <c r="G35" i="1"/>
  <c r="F35" i="1"/>
  <c r="H34" i="1"/>
  <c r="G34" i="1"/>
  <c r="F34" i="1"/>
  <c r="H27" i="1"/>
  <c r="G27" i="1"/>
  <c r="F27" i="1"/>
  <c r="H20" i="1"/>
  <c r="G20" i="1"/>
  <c r="F20" i="1"/>
  <c r="H14" i="1"/>
  <c r="H11" i="1" s="1"/>
  <c r="G14" i="1"/>
  <c r="G11" i="1" s="1"/>
  <c r="F14" i="1"/>
  <c r="F11" i="1" s="1"/>
  <c r="H9" i="1"/>
  <c r="Q9" i="1" s="1"/>
  <c r="Q99" i="1" s="1"/>
  <c r="K9" i="1"/>
  <c r="K99" i="1" s="1"/>
  <c r="N9" i="1"/>
  <c r="N99" i="1" s="1"/>
  <c r="I14" i="1"/>
  <c r="I11" i="1" s="1"/>
  <c r="J14" i="1"/>
  <c r="J11" i="1" s="1"/>
  <c r="K14" i="1"/>
  <c r="K11" i="1" s="1"/>
  <c r="L14" i="1"/>
  <c r="L11" i="1" s="1"/>
  <c r="M14" i="1"/>
  <c r="M11" i="1" s="1"/>
  <c r="N14" i="1"/>
  <c r="N11" i="1" s="1"/>
  <c r="I20" i="1"/>
  <c r="J20" i="1"/>
  <c r="K20" i="1"/>
  <c r="I27" i="1"/>
  <c r="J27" i="1"/>
  <c r="K27" i="1"/>
  <c r="I34" i="1"/>
  <c r="J34" i="1"/>
  <c r="K34" i="1"/>
  <c r="I35" i="1"/>
  <c r="J35" i="1"/>
  <c r="K35" i="1"/>
  <c r="I41" i="1"/>
  <c r="J41" i="1"/>
  <c r="K41" i="1"/>
  <c r="I53" i="1"/>
  <c r="J53" i="1"/>
  <c r="K53" i="1"/>
  <c r="I59" i="1"/>
  <c r="J59" i="1"/>
  <c r="K59" i="1"/>
  <c r="I64" i="1"/>
  <c r="J64" i="1"/>
  <c r="K64" i="1"/>
  <c r="I70" i="1"/>
  <c r="J70" i="1"/>
  <c r="K70" i="1"/>
  <c r="I74" i="1"/>
  <c r="J74" i="1"/>
  <c r="K74" i="1"/>
  <c r="I79" i="1"/>
  <c r="J79" i="1"/>
  <c r="K79" i="1"/>
  <c r="I82" i="1"/>
  <c r="J82" i="1"/>
  <c r="K82" i="1"/>
  <c r="I86" i="1"/>
  <c r="J86" i="1"/>
  <c r="K86" i="1"/>
  <c r="F97" i="1"/>
  <c r="F164" i="1" s="1"/>
  <c r="G97" i="1"/>
  <c r="G164" i="1" s="1"/>
  <c r="H97" i="1"/>
  <c r="H164" i="1" s="1"/>
  <c r="I97" i="1"/>
  <c r="I164" i="1" s="1"/>
  <c r="J97" i="1"/>
  <c r="J164" i="1" s="1"/>
  <c r="K97" i="1"/>
  <c r="K164" i="1" s="1"/>
  <c r="L97" i="1"/>
  <c r="L164" i="1" s="1"/>
  <c r="M97" i="1"/>
  <c r="M164" i="1" s="1"/>
  <c r="N97" i="1"/>
  <c r="N164" i="1" s="1"/>
  <c r="F99" i="1"/>
  <c r="G99" i="1"/>
  <c r="I99" i="1"/>
  <c r="J99" i="1"/>
  <c r="L99" i="1"/>
  <c r="M99" i="1"/>
  <c r="I106" i="1"/>
  <c r="I101" i="1" s="1"/>
  <c r="J106" i="1"/>
  <c r="J101" i="1" s="1"/>
  <c r="K106" i="1"/>
  <c r="K101" i="1" s="1"/>
  <c r="I126" i="1"/>
  <c r="I121" i="1" s="1"/>
  <c r="J126" i="1"/>
  <c r="J121" i="1" s="1"/>
  <c r="K126" i="1"/>
  <c r="K121" i="1" s="1"/>
  <c r="I136" i="1"/>
  <c r="J136" i="1"/>
  <c r="K136" i="1"/>
  <c r="I140" i="1"/>
  <c r="I160" i="1" s="1"/>
  <c r="J140" i="1"/>
  <c r="K140" i="1"/>
  <c r="I147" i="1"/>
  <c r="J147" i="1"/>
  <c r="K147" i="1"/>
  <c r="I152" i="1"/>
  <c r="J152" i="1"/>
  <c r="K152" i="1"/>
  <c r="E119" i="3"/>
  <c r="E111" i="3"/>
  <c r="C31" i="3"/>
  <c r="D31" i="3"/>
  <c r="E31" i="3"/>
  <c r="E32" i="3"/>
  <c r="D8" i="3"/>
  <c r="E8" i="3"/>
  <c r="C8" i="3"/>
  <c r="E99" i="3"/>
  <c r="C94" i="3"/>
  <c r="E80" i="197" l="1"/>
  <c r="E119" i="197"/>
  <c r="C12" i="61"/>
  <c r="E84" i="197"/>
  <c r="E134" i="197"/>
  <c r="E62" i="197"/>
  <c r="E138" i="197"/>
  <c r="E68" i="197"/>
  <c r="E33" i="197"/>
  <c r="E72" i="197"/>
  <c r="D147" i="1"/>
  <c r="D145" i="197" s="1"/>
  <c r="E15" i="73"/>
  <c r="E116" i="197"/>
  <c r="I11" i="73"/>
  <c r="G13" i="73"/>
  <c r="H10" i="61"/>
  <c r="H12" i="61" s="1"/>
  <c r="D124" i="197"/>
  <c r="I10" i="73"/>
  <c r="E104" i="197"/>
  <c r="D11" i="1"/>
  <c r="P11" i="1" s="1"/>
  <c r="D12" i="197"/>
  <c r="E7" i="73"/>
  <c r="E18" i="197"/>
  <c r="D6" i="61"/>
  <c r="D25" i="197"/>
  <c r="E9" i="73"/>
  <c r="E32" i="197"/>
  <c r="E10" i="73"/>
  <c r="E39" i="197"/>
  <c r="E11" i="73"/>
  <c r="E57" i="197"/>
  <c r="D77" i="197"/>
  <c r="E147" i="1"/>
  <c r="E150" i="197"/>
  <c r="I10" i="61"/>
  <c r="I12" i="61" s="1"/>
  <c r="E124" i="197"/>
  <c r="H10" i="73"/>
  <c r="H13" i="73" s="1"/>
  <c r="D104" i="197"/>
  <c r="E11" i="1"/>
  <c r="E12" i="197"/>
  <c r="D7" i="73"/>
  <c r="D18" i="197"/>
  <c r="E6" i="61"/>
  <c r="E25" i="197"/>
  <c r="D9" i="73"/>
  <c r="D32" i="197"/>
  <c r="D10" i="73"/>
  <c r="D39" i="197"/>
  <c r="E8" i="61"/>
  <c r="E51" i="197"/>
  <c r="D11" i="73"/>
  <c r="D57" i="197"/>
  <c r="D9" i="61"/>
  <c r="D62" i="197"/>
  <c r="E77" i="197"/>
  <c r="Q118" i="1"/>
  <c r="P118" i="1"/>
  <c r="E101" i="1"/>
  <c r="C101" i="1"/>
  <c r="D101" i="1"/>
  <c r="D99" i="197" s="1"/>
  <c r="J93" i="1"/>
  <c r="D121" i="1"/>
  <c r="L165" i="1"/>
  <c r="J69" i="1"/>
  <c r="P20" i="1"/>
  <c r="O27" i="1"/>
  <c r="Q27" i="1"/>
  <c r="P34" i="1"/>
  <c r="O35" i="1"/>
  <c r="Q35" i="1"/>
  <c r="O53" i="1"/>
  <c r="Q53" i="1"/>
  <c r="P59" i="1"/>
  <c r="O64" i="1"/>
  <c r="P70" i="1"/>
  <c r="O74" i="1"/>
  <c r="Q74" i="1"/>
  <c r="P79" i="1"/>
  <c r="O82" i="1"/>
  <c r="Q82" i="1"/>
  <c r="P86" i="1"/>
  <c r="Q152" i="1"/>
  <c r="O152" i="1"/>
  <c r="O106" i="1"/>
  <c r="Q106" i="1"/>
  <c r="P126" i="1"/>
  <c r="P140" i="1"/>
  <c r="K160" i="1"/>
  <c r="H99" i="1"/>
  <c r="G69" i="1"/>
  <c r="P14" i="1"/>
  <c r="O20" i="1"/>
  <c r="Q20" i="1"/>
  <c r="P27" i="1"/>
  <c r="P35" i="1"/>
  <c r="O41" i="1"/>
  <c r="Q41" i="1"/>
  <c r="P64" i="1"/>
  <c r="F93" i="1"/>
  <c r="H93" i="1"/>
  <c r="G93" i="1"/>
  <c r="O79" i="1"/>
  <c r="Q79" i="1"/>
  <c r="O86" i="1"/>
  <c r="P152" i="1"/>
  <c r="H101" i="1"/>
  <c r="H135" i="1" s="1"/>
  <c r="G101" i="1"/>
  <c r="G135" i="1" s="1"/>
  <c r="O118" i="1"/>
  <c r="P136" i="1"/>
  <c r="O140" i="1"/>
  <c r="Q140" i="1"/>
  <c r="D160" i="1"/>
  <c r="D158" i="197" s="1"/>
  <c r="D93" i="1"/>
  <c r="D91" i="197" s="1"/>
  <c r="J135" i="1"/>
  <c r="O121" i="1"/>
  <c r="Q121" i="1"/>
  <c r="J160" i="1"/>
  <c r="K69" i="1"/>
  <c r="I69" i="1"/>
  <c r="F69" i="1"/>
  <c r="H69" i="1"/>
  <c r="F147" i="1"/>
  <c r="F160" i="1" s="1"/>
  <c r="H147" i="1"/>
  <c r="H160" i="1" s="1"/>
  <c r="P106" i="1"/>
  <c r="F101" i="1"/>
  <c r="F135" i="1" s="1"/>
  <c r="O147" i="1"/>
  <c r="Q64" i="1"/>
  <c r="K93" i="1"/>
  <c r="I93" i="1"/>
  <c r="I166" i="1" s="1"/>
  <c r="G147" i="1"/>
  <c r="O14" i="1"/>
  <c r="Q14" i="1"/>
  <c r="P74" i="1"/>
  <c r="Q126" i="1"/>
  <c r="Q136" i="1"/>
  <c r="O136" i="1"/>
  <c r="O126" i="1"/>
  <c r="Q34" i="1"/>
  <c r="O34" i="1"/>
  <c r="P41" i="1"/>
  <c r="P53" i="1"/>
  <c r="Q59" i="1"/>
  <c r="O59" i="1"/>
  <c r="Q70" i="1"/>
  <c r="O70" i="1"/>
  <c r="P82" i="1"/>
  <c r="Q86" i="1"/>
  <c r="C9" i="73"/>
  <c r="C11" i="73"/>
  <c r="D8" i="61"/>
  <c r="E9" i="61"/>
  <c r="G10" i="61"/>
  <c r="G12" i="61" s="1"/>
  <c r="E93" i="1"/>
  <c r="D69" i="1"/>
  <c r="D67" i="197" s="1"/>
  <c r="O11" i="1"/>
  <c r="C160" i="1"/>
  <c r="C135" i="1"/>
  <c r="K135" i="1"/>
  <c r="I135" i="1"/>
  <c r="I161" i="1" s="1"/>
  <c r="C5" i="197"/>
  <c r="E4" i="73"/>
  <c r="I4" i="73"/>
  <c r="I2" i="73"/>
  <c r="E99" i="197" l="1"/>
  <c r="E145" i="197"/>
  <c r="E91" i="197"/>
  <c r="E69" i="1"/>
  <c r="C13" i="73"/>
  <c r="E160" i="1"/>
  <c r="D12" i="61"/>
  <c r="E12" i="61"/>
  <c r="Q11" i="1"/>
  <c r="E135" i="1"/>
  <c r="P121" i="1"/>
  <c r="D119" i="197"/>
  <c r="E6" i="73"/>
  <c r="E13" i="73" s="1"/>
  <c r="E9" i="197"/>
  <c r="D6" i="73"/>
  <c r="D13" i="73" s="1"/>
  <c r="D9" i="197"/>
  <c r="F166" i="1"/>
  <c r="J165" i="1"/>
  <c r="H166" i="1"/>
  <c r="H94" i="1"/>
  <c r="L166" i="1"/>
  <c r="H161" i="1"/>
  <c r="Q147" i="1"/>
  <c r="I94" i="1"/>
  <c r="P93" i="1"/>
  <c r="P101" i="1"/>
  <c r="O93" i="1"/>
  <c r="M166" i="1"/>
  <c r="F94" i="1"/>
  <c r="J94" i="1"/>
  <c r="O101" i="1"/>
  <c r="N166" i="1"/>
  <c r="O160" i="1"/>
  <c r="Q101" i="1"/>
  <c r="F161" i="1"/>
  <c r="K94" i="1"/>
  <c r="J161" i="1"/>
  <c r="N165" i="1"/>
  <c r="K165" i="1"/>
  <c r="K161" i="1"/>
  <c r="F165" i="1"/>
  <c r="D135" i="1"/>
  <c r="Q93" i="1"/>
  <c r="K166" i="1"/>
  <c r="J166" i="1"/>
  <c r="G94" i="1"/>
  <c r="P147" i="1"/>
  <c r="G160" i="1"/>
  <c r="O135" i="1"/>
  <c r="Q135" i="1"/>
  <c r="O69" i="1"/>
  <c r="C94" i="1"/>
  <c r="Q69" i="1"/>
  <c r="E94" i="1"/>
  <c r="D94" i="1"/>
  <c r="D92" i="197" s="1"/>
  <c r="P69" i="1"/>
  <c r="C161" i="1"/>
  <c r="H165" i="1"/>
  <c r="G165" i="1"/>
  <c r="I165" i="1"/>
  <c r="M165" i="1"/>
  <c r="B15" i="209"/>
  <c r="C15" i="209"/>
  <c r="C16" i="209"/>
  <c r="C14" i="209"/>
  <c r="C17" i="209"/>
  <c r="E158" i="197" l="1"/>
  <c r="E67" i="197"/>
  <c r="E92" i="197"/>
  <c r="Q160" i="1"/>
  <c r="E133" i="197"/>
  <c r="E161" i="1"/>
  <c r="D161" i="1"/>
  <c r="D159" i="197" s="1"/>
  <c r="D133" i="197"/>
  <c r="P135" i="1"/>
  <c r="P165" i="1" s="1"/>
  <c r="P94" i="1"/>
  <c r="O166" i="1"/>
  <c r="Q94" i="1"/>
  <c r="O94" i="1"/>
  <c r="Q161" i="1"/>
  <c r="Q166" i="1"/>
  <c r="O161" i="1"/>
  <c r="O165" i="1"/>
  <c r="Q165" i="1"/>
  <c r="P160" i="1"/>
  <c r="P166" i="1" s="1"/>
  <c r="G166" i="1"/>
  <c r="G161" i="1"/>
  <c r="C17" i="3"/>
  <c r="D17" i="3"/>
  <c r="E17" i="3"/>
  <c r="C24" i="3"/>
  <c r="D24" i="3"/>
  <c r="E24" i="3"/>
  <c r="C38" i="3"/>
  <c r="D38" i="3"/>
  <c r="E38" i="3"/>
  <c r="C50" i="3"/>
  <c r="D50" i="3"/>
  <c r="E50" i="3"/>
  <c r="C56" i="3"/>
  <c r="D56" i="3"/>
  <c r="E56" i="3"/>
  <c r="C61" i="3"/>
  <c r="D61" i="3"/>
  <c r="E61" i="3"/>
  <c r="C67" i="3"/>
  <c r="D67" i="3"/>
  <c r="E67" i="3"/>
  <c r="C71" i="3"/>
  <c r="D71" i="3"/>
  <c r="E71" i="3"/>
  <c r="C76" i="3"/>
  <c r="D76" i="3"/>
  <c r="E76" i="3"/>
  <c r="C79" i="3"/>
  <c r="D79" i="3"/>
  <c r="E79" i="3"/>
  <c r="C83" i="3"/>
  <c r="D83" i="3"/>
  <c r="E83" i="3"/>
  <c r="D94" i="3"/>
  <c r="E94" i="3"/>
  <c r="C114" i="3"/>
  <c r="C128" i="3" s="1"/>
  <c r="D114" i="3"/>
  <c r="E114" i="3"/>
  <c r="C129" i="3"/>
  <c r="D129" i="3"/>
  <c r="E129" i="3"/>
  <c r="C133" i="3"/>
  <c r="D133" i="3"/>
  <c r="E133" i="3"/>
  <c r="C140" i="3"/>
  <c r="D140" i="3"/>
  <c r="E140" i="3"/>
  <c r="C146" i="3"/>
  <c r="D146" i="3"/>
  <c r="E146" i="3"/>
  <c r="B37" i="76"/>
  <c r="B31" i="76"/>
  <c r="B38" i="76"/>
  <c r="B26" i="76"/>
  <c r="E97" i="1"/>
  <c r="E14" i="211"/>
  <c r="E13" i="211"/>
  <c r="D7" i="94"/>
  <c r="B1" i="94"/>
  <c r="B13" i="208" s="1"/>
  <c r="K13" i="94"/>
  <c r="M13" i="94" s="1"/>
  <c r="K11" i="94"/>
  <c r="M11" i="94" s="1"/>
  <c r="B23" i="209"/>
  <c r="F15" i="211"/>
  <c r="D15" i="211"/>
  <c r="C15" i="211"/>
  <c r="B17" i="209"/>
  <c r="B22" i="209"/>
  <c r="B21" i="209"/>
  <c r="B20" i="209"/>
  <c r="B19" i="209"/>
  <c r="B18" i="209"/>
  <c r="B26" i="209"/>
  <c r="B27" i="209"/>
  <c r="B29" i="209"/>
  <c r="B31" i="209"/>
  <c r="B32" i="209"/>
  <c r="A2" i="207"/>
  <c r="B33" i="209"/>
  <c r="A2" i="197"/>
  <c r="D23" i="207"/>
  <c r="D22" i="205"/>
  <c r="D18" i="205"/>
  <c r="C20" i="204"/>
  <c r="C16" i="204"/>
  <c r="D31" i="202"/>
  <c r="G18" i="200"/>
  <c r="F18" i="200"/>
  <c r="E18" i="200"/>
  <c r="D18" i="200"/>
  <c r="C18" i="200"/>
  <c r="H17" i="200"/>
  <c r="I17" i="200" s="1"/>
  <c r="H16" i="200"/>
  <c r="I16" i="200" s="1"/>
  <c r="G14" i="200"/>
  <c r="F14" i="200"/>
  <c r="E14" i="200"/>
  <c r="D14" i="200"/>
  <c r="C14" i="200"/>
  <c r="H13" i="200"/>
  <c r="I13" i="200" s="1"/>
  <c r="H12" i="200"/>
  <c r="I12" i="200" s="1"/>
  <c r="H11" i="200"/>
  <c r="I11" i="200" s="1"/>
  <c r="H10" i="200"/>
  <c r="I10" i="200" s="1"/>
  <c r="H9" i="200"/>
  <c r="I9" i="200" s="1"/>
  <c r="H8" i="200"/>
  <c r="I8" i="200" s="1"/>
  <c r="H7" i="200"/>
  <c r="I7" i="200" s="1"/>
  <c r="H14" i="199"/>
  <c r="G14" i="199"/>
  <c r="F14" i="199"/>
  <c r="E14" i="199"/>
  <c r="H7" i="199"/>
  <c r="H21" i="199" s="1"/>
  <c r="G7" i="199"/>
  <c r="F7" i="199"/>
  <c r="E7" i="199"/>
  <c r="B2" i="157"/>
  <c r="B2" i="153"/>
  <c r="B2" i="149"/>
  <c r="B2" i="145"/>
  <c r="B2" i="105"/>
  <c r="B2" i="3"/>
  <c r="A2" i="1"/>
  <c r="C19" i="61"/>
  <c r="D45" i="79"/>
  <c r="E45" i="79"/>
  <c r="D51" i="79"/>
  <c r="E51" i="79"/>
  <c r="D8" i="79"/>
  <c r="E8" i="79"/>
  <c r="D20" i="79"/>
  <c r="E20" i="79"/>
  <c r="D30" i="79"/>
  <c r="E30" i="79"/>
  <c r="D37" i="79"/>
  <c r="E37" i="79"/>
  <c r="H25" i="61"/>
  <c r="I25" i="61"/>
  <c r="D13" i="61"/>
  <c r="E13" i="61"/>
  <c r="D19" i="61"/>
  <c r="E19" i="61"/>
  <c r="D30" i="76"/>
  <c r="I13" i="73"/>
  <c r="H25" i="73"/>
  <c r="D31" i="76" s="1"/>
  <c r="I25" i="73"/>
  <c r="D14" i="73"/>
  <c r="D25" i="73" s="1"/>
  <c r="E14" i="73"/>
  <c r="E25" i="73" s="1"/>
  <c r="G25" i="73"/>
  <c r="C51" i="79"/>
  <c r="C37" i="79"/>
  <c r="C30" i="79"/>
  <c r="C20" i="79"/>
  <c r="G25" i="61"/>
  <c r="C13" i="61"/>
  <c r="C14" i="73"/>
  <c r="C25" i="73" s="1"/>
  <c r="C45" i="79"/>
  <c r="C8" i="79"/>
  <c r="B7" i="76"/>
  <c r="B36" i="76"/>
  <c r="B12" i="76"/>
  <c r="C10" i="209"/>
  <c r="C26" i="209"/>
  <c r="C24" i="209"/>
  <c r="C21" i="209"/>
  <c r="C18" i="209"/>
  <c r="C19" i="209"/>
  <c r="C32" i="209"/>
  <c r="C23" i="209"/>
  <c r="C9" i="209"/>
  <c r="C28" i="209"/>
  <c r="C8" i="209"/>
  <c r="C31" i="209"/>
  <c r="C25" i="209"/>
  <c r="C30" i="209"/>
  <c r="C7" i="209"/>
  <c r="C11" i="209"/>
  <c r="C22" i="209"/>
  <c r="C35" i="209"/>
  <c r="C29" i="209"/>
  <c r="C20" i="209"/>
  <c r="C12" i="209"/>
  <c r="C34" i="209"/>
  <c r="C33" i="209"/>
  <c r="C13" i="209"/>
  <c r="C27" i="209"/>
  <c r="E159" i="197" l="1"/>
  <c r="E164" i="1"/>
  <c r="E21" i="199"/>
  <c r="F21" i="199"/>
  <c r="G21" i="199"/>
  <c r="C57" i="79"/>
  <c r="P161" i="1"/>
  <c r="D27" i="61"/>
  <c r="H26" i="61"/>
  <c r="G26" i="73"/>
  <c r="D25" i="76"/>
  <c r="I4" i="198"/>
  <c r="A1" i="210"/>
  <c r="A3" i="207"/>
  <c r="D3" i="210"/>
  <c r="A2" i="208"/>
  <c r="A1" i="205"/>
  <c r="A1" i="203"/>
  <c r="A1" i="201"/>
  <c r="I3" i="199"/>
  <c r="A1" i="197"/>
  <c r="A1" i="211"/>
  <c r="B1" i="153"/>
  <c r="B1" i="145"/>
  <c r="B1" i="79"/>
  <c r="J1" i="73"/>
  <c r="E3" i="207"/>
  <c r="A1" i="204"/>
  <c r="A1" i="202"/>
  <c r="J1" i="200"/>
  <c r="K2" i="198"/>
  <c r="F1" i="210"/>
  <c r="B1" i="157"/>
  <c r="B1" i="149"/>
  <c r="B1" i="105"/>
  <c r="B1" i="3"/>
  <c r="B1" i="1"/>
  <c r="B1" i="64"/>
  <c r="J1" i="61"/>
  <c r="M1" i="213"/>
  <c r="B1" i="63"/>
  <c r="A3" i="197"/>
  <c r="B25" i="209" s="1"/>
  <c r="E15" i="211"/>
  <c r="H27" i="61"/>
  <c r="E27" i="73"/>
  <c r="D18" i="76"/>
  <c r="E57" i="79"/>
  <c r="E4" i="199"/>
  <c r="G4" i="198"/>
  <c r="G5" i="199" s="1"/>
  <c r="H4" i="199" s="1"/>
  <c r="H4" i="198"/>
  <c r="C26" i="73"/>
  <c r="K15" i="94"/>
  <c r="C25" i="61"/>
  <c r="C26" i="61" s="1"/>
  <c r="D26" i="73"/>
  <c r="D36" i="79"/>
  <c r="D41" i="79" s="1"/>
  <c r="J26" i="198"/>
  <c r="D19" i="200"/>
  <c r="F19" i="200"/>
  <c r="D27" i="73"/>
  <c r="H18" i="200"/>
  <c r="C6" i="197"/>
  <c r="C96" i="197" s="1"/>
  <c r="B34" i="209"/>
  <c r="B7" i="208"/>
  <c r="A3" i="1"/>
  <c r="B9" i="209" s="1"/>
  <c r="H14" i="200"/>
  <c r="H26" i="73"/>
  <c r="D32" i="76" s="1"/>
  <c r="D58" i="145"/>
  <c r="C19" i="200"/>
  <c r="E19" i="200"/>
  <c r="G19" i="200"/>
  <c r="G26" i="61"/>
  <c r="D37" i="76"/>
  <c r="E37" i="76" s="1"/>
  <c r="C23" i="204"/>
  <c r="C27" i="61"/>
  <c r="E25" i="61"/>
  <c r="D19" i="76" s="1"/>
  <c r="G27" i="61"/>
  <c r="D6" i="76"/>
  <c r="G27" i="73"/>
  <c r="I26" i="73"/>
  <c r="I27" i="73"/>
  <c r="C27" i="73"/>
  <c r="D24" i="76"/>
  <c r="E26" i="73"/>
  <c r="E36" i="79"/>
  <c r="C36" i="79"/>
  <c r="C41" i="79" s="1"/>
  <c r="C58" i="79" s="1"/>
  <c r="D57" i="79"/>
  <c r="C90" i="3"/>
  <c r="D154" i="3"/>
  <c r="C66" i="3"/>
  <c r="C91" i="3" s="1"/>
  <c r="E90" i="3"/>
  <c r="E128" i="3"/>
  <c r="D128" i="3"/>
  <c r="A4" i="203"/>
  <c r="A6" i="75"/>
  <c r="A4" i="76" s="1"/>
  <c r="E3" i="198"/>
  <c r="A1" i="200"/>
  <c r="B28" i="209" s="1"/>
  <c r="B24" i="209"/>
  <c r="D6" i="197"/>
  <c r="D96" i="197" s="1"/>
  <c r="F4" i="198"/>
  <c r="F5" i="199" s="1"/>
  <c r="A4" i="202"/>
  <c r="B30" i="209" s="1"/>
  <c r="I26" i="61"/>
  <c r="E27" i="61"/>
  <c r="D36" i="76"/>
  <c r="E36" i="76" s="1"/>
  <c r="D58" i="105"/>
  <c r="B24" i="76"/>
  <c r="I27" i="61"/>
  <c r="I18" i="200"/>
  <c r="D25" i="61"/>
  <c r="I14" i="200"/>
  <c r="D12" i="76"/>
  <c r="E12" i="76" s="1"/>
  <c r="H27" i="73"/>
  <c r="E31" i="76"/>
  <c r="E154" i="3"/>
  <c r="C154" i="3"/>
  <c r="C155" i="3" s="1"/>
  <c r="D90" i="3"/>
  <c r="D66" i="3"/>
  <c r="E66" i="3"/>
  <c r="E166" i="1"/>
  <c r="B19" i="76"/>
  <c r="B32" i="76"/>
  <c r="D165" i="1"/>
  <c r="B30" i="76"/>
  <c r="E30" i="76" s="1"/>
  <c r="C166" i="1"/>
  <c r="B25" i="76"/>
  <c r="E25" i="76" s="1"/>
  <c r="B8" i="76"/>
  <c r="B6" i="76"/>
  <c r="E165" i="1"/>
  <c r="B18" i="76"/>
  <c r="B20" i="76"/>
  <c r="D166" i="1"/>
  <c r="B13" i="76"/>
  <c r="D162" i="1"/>
  <c r="C162" i="1"/>
  <c r="B14" i="76"/>
  <c r="C165" i="1"/>
  <c r="I28" i="73" l="1"/>
  <c r="E41" i="79"/>
  <c r="D26" i="76"/>
  <c r="E26" i="76" s="1"/>
  <c r="C28" i="73"/>
  <c r="E19" i="76"/>
  <c r="D91" i="3"/>
  <c r="D38" i="76"/>
  <c r="E38" i="76" s="1"/>
  <c r="D28" i="73"/>
  <c r="C58" i="145"/>
  <c r="D58" i="153"/>
  <c r="E28" i="73"/>
  <c r="C58" i="149"/>
  <c r="E18" i="76"/>
  <c r="D58" i="149"/>
  <c r="C58" i="105"/>
  <c r="E91" i="3"/>
  <c r="A13" i="75"/>
  <c r="A10" i="76" s="1"/>
  <c r="C58" i="153"/>
  <c r="H19" i="200"/>
  <c r="D7" i="76"/>
  <c r="E7" i="76" s="1"/>
  <c r="G28" i="73"/>
  <c r="C58" i="157"/>
  <c r="D8" i="76"/>
  <c r="E8" i="76" s="1"/>
  <c r="C28" i="61"/>
  <c r="K17" i="94"/>
  <c r="M15" i="94"/>
  <c r="I5" i="64"/>
  <c r="G5" i="63"/>
  <c r="D58" i="157"/>
  <c r="H28" i="73"/>
  <c r="E6" i="76"/>
  <c r="A19" i="75"/>
  <c r="A16" i="76" s="1"/>
  <c r="G28" i="61"/>
  <c r="I19" i="200"/>
  <c r="E32" i="76"/>
  <c r="E26" i="61"/>
  <c r="I28" i="61" s="1"/>
  <c r="E24" i="76"/>
  <c r="D20" i="76"/>
  <c r="E20" i="76" s="1"/>
  <c r="D58" i="79"/>
  <c r="C156" i="3"/>
  <c r="E155" i="3"/>
  <c r="D155" i="3"/>
  <c r="F5" i="63"/>
  <c r="F5" i="64"/>
  <c r="I5" i="63"/>
  <c r="D5" i="63"/>
  <c r="D5" i="64" s="1"/>
  <c r="A31" i="75"/>
  <c r="A28" i="76" s="1"/>
  <c r="G5" i="64"/>
  <c r="A37" i="75"/>
  <c r="A34" i="76" s="1"/>
  <c r="A25" i="75"/>
  <c r="A22" i="76" s="1"/>
  <c r="E5" i="3"/>
  <c r="A5" i="204"/>
  <c r="A5" i="205"/>
  <c r="E28" i="61"/>
  <c r="D26" i="61"/>
  <c r="D13" i="76"/>
  <c r="E13" i="76" s="1"/>
  <c r="C4" i="73"/>
  <c r="G4" i="73" s="1"/>
  <c r="D4" i="61"/>
  <c r="H4" i="61" s="1"/>
  <c r="C4" i="61"/>
  <c r="G4" i="61" s="1"/>
  <c r="D4" i="73"/>
  <c r="H4" i="73" s="1"/>
  <c r="I2" i="61"/>
  <c r="I4" i="63" s="1"/>
  <c r="I4" i="64" s="1"/>
  <c r="E4" i="3" s="1"/>
  <c r="D156" i="3" l="1"/>
  <c r="K19" i="94"/>
  <c r="M17" i="94"/>
  <c r="A4" i="157"/>
  <c r="A4" i="153"/>
  <c r="A4" i="149"/>
  <c r="A4" i="145"/>
  <c r="E4" i="105"/>
  <c r="E4" i="79"/>
  <c r="E5" i="157"/>
  <c r="E5" i="153"/>
  <c r="E5" i="149"/>
  <c r="E5" i="145"/>
  <c r="E5" i="105"/>
  <c r="E5" i="79"/>
  <c r="H28" i="61"/>
  <c r="D28" i="61"/>
  <c r="D14" i="76"/>
  <c r="E14" i="76" s="1"/>
  <c r="M19" i="94" l="1"/>
  <c r="K21" i="94"/>
  <c r="A2" i="198"/>
  <c r="E3" i="199" s="1"/>
  <c r="C95" i="197"/>
  <c r="K23" i="94" l="1"/>
  <c r="M21" i="94"/>
  <c r="C4" i="201"/>
  <c r="A6" i="202" s="1"/>
  <c r="A2" i="200"/>
  <c r="M23" i="94" l="1"/>
  <c r="K25" i="94"/>
  <c r="A6" i="204"/>
  <c r="A5" i="203"/>
  <c r="K27" i="94" l="1"/>
  <c r="M25" i="94"/>
  <c r="E4" i="61"/>
  <c r="I4" i="61" s="1"/>
  <c r="M27" i="94" l="1"/>
  <c r="K29" i="94"/>
  <c r="M29" i="94" l="1"/>
  <c r="K31" i="94"/>
  <c r="M31" i="94" s="1"/>
</calcChain>
</file>

<file path=xl/sharedStrings.xml><?xml version="1.0" encoding="utf-8"?>
<sst xmlns="http://schemas.openxmlformats.org/spreadsheetml/2006/main" count="2982" uniqueCount="1075">
  <si>
    <t>Vállalkozási maradvány igénybevétele</t>
  </si>
  <si>
    <t>Felhalmozási bevételek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</si>
  <si>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</si>
  <si>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</si>
  <si>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</si>
  <si>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</si>
  <si>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</si>
  <si>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</si>
  <si>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</si>
  <si>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</si>
  <si>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</si>
  <si>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</si>
  <si>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</si>
  <si>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</si>
  <si>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</si>
  <si>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</si>
  <si>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</si>
  <si>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</si>
  <si>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</si>
  <si>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</si>
  <si>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</si>
  <si>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</si>
  <si>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</si>
  <si>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</si>
  <si>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</si>
  <si>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</si>
  <si>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</si>
  <si>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</si>
  <si>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</si>
  <si>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</si>
  <si>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</si>
  <si>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</si>
  <si>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</si>
  <si>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</si>
  <si>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</si>
  <si>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Személyi  juttatások</t>
  </si>
  <si>
    <t>Tartalékok</t>
  </si>
  <si>
    <t>Összesen:</t>
  </si>
  <si>
    <t>01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</si>
  <si>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</si>
  <si>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</si>
  <si>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</si>
  <si>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</si>
  <si>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</si>
  <si>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</si>
  <si>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</si>
  <si>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</si>
  <si>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</si>
  <si>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</si>
  <si>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</si>
  <si>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</si>
  <si>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</si>
  <si>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</si>
  <si>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</si>
  <si>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</si>
  <si>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</si>
  <si>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</si>
  <si>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</si>
  <si>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</si>
  <si>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</si>
  <si>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</si>
  <si>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</si>
  <si>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</si>
  <si>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</si>
  <si>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</si>
  <si>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</si>
  <si>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</si>
  <si>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</si>
  <si>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</si>
  <si>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</si>
  <si>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</si>
  <si>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</si>
  <si>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</si>
  <si>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</si>
  <si>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1.5</t>
  </si>
  <si>
    <t>1.8.</t>
  </si>
  <si>
    <t>1.9.</t>
  </si>
  <si>
    <t>1.10.</t>
  </si>
  <si>
    <t>1.11.</t>
  </si>
  <si>
    <t>2.6.</t>
  </si>
  <si>
    <t>1.12.</t>
  </si>
  <si>
    <t>2.7.</t>
  </si>
  <si>
    <t>Saját erő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</si>
  <si>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</si>
  <si>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</si>
  <si>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</si>
  <si>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</si>
  <si>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</si>
  <si>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</si>
  <si>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</si>
  <si>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ELTÉRÉS</t>
  </si>
  <si>
    <t>Rövid lejáratú hitelek törlesztése</t>
  </si>
  <si>
    <t>Hosszú lejáratú hitelek törlesztése</t>
  </si>
  <si>
    <t>I. Működési célú bevételek és kiadások mérlege
(Önkormányzati szinten)</t>
  </si>
  <si>
    <t>II. Felhalmozási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</si>
  <si>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</si>
  <si>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</si>
  <si>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</si>
  <si>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</si>
  <si>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</si>
  <si>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</si>
  <si>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</si>
  <si>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</si>
  <si>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</si>
  <si>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</si>
  <si>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</si>
  <si>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</si>
  <si>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</si>
  <si>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</si>
  <si>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</si>
  <si>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</si>
  <si>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</si>
  <si>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</si>
  <si>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</si>
  <si>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</si>
  <si>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</si>
  <si>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</si>
  <si>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</si>
  <si>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</si>
  <si>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</si>
  <si>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</si>
  <si>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</si>
  <si>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</si>
  <si>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Száma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</si>
  <si>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</si>
  <si>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</si>
  <si>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</si>
  <si>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</si>
  <si>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</si>
  <si>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</si>
  <si>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</si>
  <si>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</si>
  <si>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</si>
  <si>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</si>
  <si>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</si>
  <si>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</si>
  <si>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</si>
  <si>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</si>
  <si>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</si>
  <si>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</si>
  <si>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</si>
  <si>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</si>
  <si>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</si>
  <si>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</si>
  <si>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</si>
  <si>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</si>
  <si>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</si>
  <si>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</si>
  <si>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</si>
  <si>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</si>
  <si>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</si>
  <si>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</si>
  <si>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</si>
  <si>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</si>
  <si>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</si>
  <si>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</si>
  <si>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</si>
  <si>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</si>
  <si>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</si>
  <si>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</si>
  <si>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</si>
  <si>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4.1.</t>
  </si>
  <si>
    <t>4.2.</t>
  </si>
  <si>
    <t>4.3.</t>
  </si>
  <si>
    <t>4.4.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</si>
  <si>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</si>
  <si>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</si>
  <si>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</si>
  <si>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</si>
  <si>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</si>
  <si>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</si>
  <si>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</si>
  <si>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</si>
  <si>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</si>
  <si>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</si>
  <si>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</si>
  <si>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</si>
  <si>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</si>
  <si>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</si>
  <si>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</si>
  <si>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</si>
  <si>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</si>
  <si>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</si>
  <si>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</si>
  <si>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</si>
  <si>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</si>
  <si>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</si>
  <si>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</si>
  <si>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</si>
  <si>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</si>
  <si>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</si>
  <si>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</si>
  <si>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</si>
  <si>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</si>
  <si>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</si>
  <si>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</si>
  <si>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</si>
  <si>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</si>
  <si>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</si>
  <si>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</si>
  <si>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</si>
  <si>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</si>
  <si>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11.</t>
  </si>
  <si>
    <t>Belföldi értékpapírok bevételei (11.1. +…+ 11.4.)</t>
  </si>
  <si>
    <t>Forgatási célú belföldi értékpapírok beváltása,  értékesítése</t>
  </si>
  <si>
    <t>Befektetési célú belföldi értékpapírok beváltása,  értékesítése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</si>
  <si>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</si>
  <si>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</si>
  <si>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</si>
  <si>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</si>
  <si>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</si>
  <si>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</si>
  <si>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</si>
  <si>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</si>
  <si>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</si>
  <si>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</si>
  <si>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</si>
  <si>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</si>
  <si>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</si>
  <si>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</si>
  <si>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</si>
  <si>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</si>
  <si>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</si>
  <si>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</si>
  <si>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</si>
  <si>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</si>
  <si>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</si>
  <si>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</si>
  <si>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</si>
  <si>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</si>
  <si>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</si>
  <si>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</si>
  <si>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</si>
  <si>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</si>
  <si>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</si>
  <si>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</si>
  <si>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</si>
  <si>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</si>
  <si>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</si>
  <si>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</si>
  <si>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</si>
  <si>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</si>
  <si>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</si>
  <si>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</si>
  <si>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</si>
  <si>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</si>
  <si>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</si>
  <si>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</si>
  <si>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</si>
  <si>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</si>
  <si>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</si>
  <si>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</si>
  <si>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</si>
  <si>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</si>
  <si>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</si>
  <si>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</si>
  <si>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</si>
  <si>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</si>
  <si>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</si>
  <si>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</si>
  <si>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</si>
  <si>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</si>
  <si>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</si>
  <si>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</si>
  <si>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</si>
  <si>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</si>
  <si>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Értékpapírok bevételei</t>
  </si>
  <si>
    <t>Likviditási célú hitelek törlesztése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</si>
  <si>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</si>
  <si>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</si>
  <si>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</si>
  <si>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</si>
  <si>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</si>
  <si>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1.-ből EU-s forrásból megvalósuló beruházás</t>
  </si>
  <si>
    <t>3.-ból EU-s forrásból megvalósuló felújítás</t>
  </si>
  <si>
    <t>Pénzügyi lízing kiadásai</t>
  </si>
  <si>
    <t xml:space="preserve"> 10.</t>
  </si>
  <si>
    <t>2.-ból EU-s támogatás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</si>
  <si>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</si>
  <si>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</si>
  <si>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</si>
  <si>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</si>
  <si>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</si>
  <si>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</si>
  <si>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Felhalmozási célú támogatások államháztartáson belülről (4.1.+4.2.)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</si>
  <si>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</si>
  <si>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</si>
  <si>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</si>
  <si>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</si>
  <si>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</si>
  <si>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</si>
  <si>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</si>
  <si>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</si>
  <si>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</si>
  <si>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</si>
  <si>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</si>
  <si>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</si>
  <si>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</si>
  <si>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</si>
  <si>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</si>
  <si>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</si>
  <si>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</si>
  <si>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</si>
  <si>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</si>
  <si>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</si>
  <si>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04</t>
  </si>
  <si>
    <t xml:space="preserve">Működési célú kvi támogatások és kiegészítő támogatások </t>
  </si>
  <si>
    <t>Elszámolásból származó bevételek</t>
  </si>
  <si>
    <t>Működési bevételek (5.1.+…+ 5.11.)</t>
  </si>
  <si>
    <t>5.11.</t>
  </si>
  <si>
    <t>Biztosító által fizetett kártérítés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</si>
  <si>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</si>
  <si>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1.16.</t>
  </si>
  <si>
    <t>1.17.</t>
  </si>
  <si>
    <t xml:space="preserve">   - Törvényi előíráson alapuló befizetések</t>
  </si>
  <si>
    <t xml:space="preserve"> - az 1.5-ből: - Előző évi elszámolásból származó befizetések</t>
  </si>
  <si>
    <t>1.18.</t>
  </si>
  <si>
    <t>1.19.</t>
  </si>
  <si>
    <t xml:space="preserve"> - az 1.18-ból: - Általános tartalék</t>
  </si>
  <si>
    <t xml:space="preserve">   - Céltartalék</t>
  </si>
  <si>
    <t>KÖLTSÉGVETÉSI KIADÁSOK ÖSSZESEN (1+2)</t>
  </si>
  <si>
    <t>Hitel-, kölcsöntörlesztés államháztartáson kívülre (4.1. + … + 4.3.)</t>
  </si>
  <si>
    <t>Belföldi értékpapírok kiadásai (5.1. + … + 5.6.)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</si>
  <si>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</si>
  <si>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</si>
  <si>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</si>
  <si>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</si>
  <si>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</si>
  <si>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</si>
  <si>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</si>
  <si>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</si>
  <si>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Forgatási célú belföldi értékpapírok vásárlása</t>
  </si>
  <si>
    <t>Forgatási célú külföldi értékpapírok vásárlása</t>
  </si>
  <si>
    <t xml:space="preserve">   Rövid lejáratú  hitelek, kölcsönök felvétele</t>
  </si>
  <si>
    <t>Külföldi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</si>
  <si>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</si>
  <si>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</si>
  <si>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</si>
  <si>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7.5.</t>
  </si>
  <si>
    <t>Befektetési célú külföldi értékpapírok vásárlása</t>
  </si>
  <si>
    <t>Hitelek, kölcsönök törlesztése külföldi kormányoknak nemz. Szervezeteknek</t>
  </si>
  <si>
    <t>Hitelek, kölcsönök törlesztése külföldi pénzintézeteknek</t>
  </si>
  <si>
    <t>Adóssághoz nem kapcsolódó származékos ügyletek</t>
  </si>
  <si>
    <t>Váltókiadások</t>
  </si>
  <si>
    <t>KIADÁSOK ÖSSZESEN: (3.+10.)</t>
  </si>
  <si>
    <t>FINANSZÍROZÁSI KIADÁSOK ÖSSZESEN: (4.+…+9.)</t>
  </si>
  <si>
    <t>Költségvetési hiány, többlet ( költségvetési bevételek 9. sor - költségvetési kiadások 3. sor) (+/-)</t>
  </si>
  <si>
    <t>Váltóbevételek</t>
  </si>
  <si>
    <t xml:space="preserve">   9.</t>
  </si>
  <si>
    <t xml:space="preserve">    18.</t>
  </si>
  <si>
    <t>FINANSZÍROZÁSI BEVÉTELEK ÖSSZESEN: (10. + … +16.)</t>
  </si>
  <si>
    <t>KÖLTSÉGVETÉSI ÉS FINANSZÍROZÁSI BEVÉTELEK ÖSSZESEN: (9+17)</t>
  </si>
  <si>
    <t>Finanszírozási bevételek, kiadások egyenlege (finanszírozási bevételek 17. sor - finanszírozási kiadások 10. sor)
 (+/-)</t>
  </si>
  <si>
    <t>6.-ból EU-s támogatás (közvetlen)</t>
  </si>
  <si>
    <t>A</t>
  </si>
  <si>
    <t>B</t>
  </si>
  <si>
    <t>C</t>
  </si>
  <si>
    <t>E</t>
  </si>
  <si>
    <t>D</t>
  </si>
  <si>
    <t>F</t>
  </si>
  <si>
    <t>G</t>
  </si>
  <si>
    <t>H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</si>
  <si>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</si>
  <si>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</si>
  <si>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</si>
  <si>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</si>
  <si>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</si>
  <si>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</si>
  <si>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</si>
  <si>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Éven belüli lejáatú belföldi értékpapírok beváltása</t>
  </si>
  <si>
    <t>Rövid lejáratú hitelek, kölcsönök törlesztése</t>
  </si>
  <si>
    <t>Hosszú lejáratú hitelek, kölcsönök törlesztése</t>
  </si>
  <si>
    <t>Hitelek, kölcsönök törlesztése külföldi kormányoknak nemz. szervezeteknek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</si>
  <si>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</si>
  <si>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</si>
  <si>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</si>
  <si>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</si>
  <si>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</si>
  <si>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 xml:space="preserve">  2.3.-ból EU támogatás</t>
  </si>
  <si>
    <t xml:space="preserve">  4.2.-ből EU-s támogatás</t>
  </si>
  <si>
    <t>KÖLTSÉGVETÉSI BEVÉTELEK ÖSSZESEN (1.+…+7.)</t>
  </si>
  <si>
    <t>KIADÁSOK ÖSSZESEN: (1.+2.+3.)</t>
  </si>
  <si>
    <t>Központi, irányító szervi támogatás</t>
  </si>
  <si>
    <t>Belföldi finanszírozás kiadásai (6.1. + … + 6.5.)</t>
  </si>
  <si>
    <t>Eredeti
előirányzat</t>
  </si>
  <si>
    <t>Módosított
előirányzat</t>
  </si>
  <si>
    <t>Kiadási jogcím</t>
  </si>
  <si>
    <t>Hitel-, kölcsöntörlesztés államházt-on kívülre (4.1. + … + 4.3.)</t>
  </si>
  <si>
    <t xml:space="preserve">F </t>
  </si>
  <si>
    <t>I</t>
  </si>
  <si>
    <t>2.2. melléklet</t>
  </si>
  <si>
    <t>2.1. számú melléklet C. oszlop 13. sor + 2.2. számú melléklet C. oszlop 12. sor</t>
  </si>
  <si>
    <t>2.1. számú melléklet D. oszlop 13. sor + 2.2. számú melléklet D. oszlop 12. sor</t>
  </si>
  <si>
    <t>2.1. számú melléklet E. oszlop 13. sor + 2.2. számú melléklet E. oszlop 12. sor</t>
  </si>
  <si>
    <t>2.1. számú melléklet G. oszlop 13. sor + 2.2. számú melléklet G. oszlop 12. sor</t>
  </si>
  <si>
    <t>2.1. számú melléklet H. oszlop 13. sor + 2.2. számú melléklet H. oszlop 12. sor</t>
  </si>
  <si>
    <t>2.1. számú melléklet I. oszlop 13. sor + 2.2. számú melléklet I. oszlop 12. sor</t>
  </si>
  <si>
    <t>2.1. számú melléklet C. oszlop 24. sor + 2.2. számú melléklet C. oszlop 25. sor</t>
  </si>
  <si>
    <t>2.1. számú melléklet C. oszlop 25. sor + 2.2. számú melléklet C. oszlop 26. sor</t>
  </si>
  <si>
    <t>2.1. számú melléklet D. oszlop 24. sor + 2.2. számú melléklet D. oszlop 25. sor</t>
  </si>
  <si>
    <t>2.1. számú melléklet D. oszlop 25. sor + 2.2. számú melléklet D. oszlop 26. sor</t>
  </si>
  <si>
    <t>2.1. számú melléklet E. oszlop 24. sor + 2.2. számú melléklet E. oszlop 25. sor</t>
  </si>
  <si>
    <t>2.1. számú melléklet E. oszlop 25. sor + 2.2. számú melléklet E. oszlop 26. sor</t>
  </si>
  <si>
    <t>2.1. számú melléklet G. oszlop 24. sor + 2.2. számú melléklet G. oszlop 25. sor</t>
  </si>
  <si>
    <t>2.1. számú melléklet G. oszlop 25. sor + 2.2. számú melléklet G. oszlop 26. sor</t>
  </si>
  <si>
    <t>2.1. számú melléklet H. oszlop 24. sor + 2.2. számú melléklet H. oszlop 25. sor</t>
  </si>
  <si>
    <t>2.1. számú melléklet H. oszlop 25. sor + 2.2. számú melléklet H. oszlop 26. sor</t>
  </si>
  <si>
    <t>2.1. számú melléklet I. oszlop 24. sor + 2.2. számú melléklet I. oszlop 25. sor</t>
  </si>
  <si>
    <t>2.1. számú melléklet I. oszlop 25. sor + 2.2. számú melléklet I. oszlop 26. sor</t>
  </si>
  <si>
    <t>Teljesítés</t>
  </si>
  <si>
    <t>Eredeti előirányzat</t>
  </si>
  <si>
    <t>Módosított előirányzat</t>
  </si>
  <si>
    <t>Költségvetési szerv</t>
  </si>
  <si>
    <t>1.1 sz. melléklet Bevételek táblázat C. oszlop 17 sora =</t>
  </si>
  <si>
    <t>1.1 sz. melléklet Bevételek táblázat C. oszlop 18 sora =</t>
  </si>
  <si>
    <t>1.1. sz. melléklet Bevételek táblázat C. oszlop 9 sora =</t>
  </si>
  <si>
    <t>1.1. sz. melléklet Bevételek táblázat D. oszlop 9 sora =</t>
  </si>
  <si>
    <t>1.1. sz. melléklet Bevételek táblázat D. oszlop 17 sora =</t>
  </si>
  <si>
    <t>1.1. sz. melléklet Bevételek táblázat D. oszlop 18 sora =</t>
  </si>
  <si>
    <t>1.1. sz. melléklet Bevételek táblázat E. oszlop 9 sora =</t>
  </si>
  <si>
    <t>1.1. sz. melléklet Bevételek táblázat E. oszlop 17 sora =</t>
  </si>
  <si>
    <t>1.1. sz. melléklet Bevételek táblázat E. oszlop 18 sora =</t>
  </si>
  <si>
    <t>1.1.sz. melléklet Kiadások táblázat C. oszlop 3 sora =</t>
  </si>
  <si>
    <t>1.1. sz. melléklet Kiadások táblázat C. oszlop 10 sora =</t>
  </si>
  <si>
    <t>1.1. sz. melléklet Kiadások táblázat C. oszlop 11 sora =</t>
  </si>
  <si>
    <t>1.1. sz. melléklet Kiadások táblázat D. oszlop 3 sora =</t>
  </si>
  <si>
    <t>1.1. sz. melléklet Kiadások táblázat D. oszlop 10 sora =</t>
  </si>
  <si>
    <t>1.1. sz. melléklet Kiadások táblázat D. oszlop 11 sora =</t>
  </si>
  <si>
    <t>1.1. sz. melléklet Kiadások táblázat E. oszlop 3 sora =</t>
  </si>
  <si>
    <t>1.1. sz. melléklet Kiadások táblázat E. oszlop 10 sora =</t>
  </si>
  <si>
    <t>1.1.sz. melléklet Kiadások táblázat E. oszlop 11 sora =</t>
  </si>
  <si>
    <t>1.1. sz. melléklet Bevételek táblázat C. oszlop 17 sora =</t>
  </si>
  <si>
    <t>1.1. sz. melléklet Bevételek táblázat C. oszlop 18 sora =</t>
  </si>
  <si>
    <t>1.1. sz. melléklet Kiadások táblázat C. oszlop 3 sora =</t>
  </si>
  <si>
    <t>1.1. sz. melléklet Kiadások táblázat E. oszlop 11 sora =</t>
  </si>
  <si>
    <t>Kamatbevételek és más nyereségjellegű bevételek</t>
  </si>
  <si>
    <t>Kiemelt előirányzat, előirányzat megnevezése</t>
  </si>
  <si>
    <t>Tényleges állományi létszám előirányzat (fő)</t>
  </si>
  <si>
    <t>Közfoglalkoztatottak tényleges állományi létszáma (fő)</t>
  </si>
  <si>
    <t xml:space="preserve"> Forintban!</t>
  </si>
  <si>
    <t>Bruttó  hiány:</t>
  </si>
  <si>
    <t>Bruttó  többlet:</t>
  </si>
  <si>
    <t>Éven belüli lejáratú belföldi értékpapírok kibocsátása</t>
  </si>
  <si>
    <t>Éven túli lejáratú belföldi értékpapírok kibocsátása</t>
  </si>
  <si>
    <t>Lekötött betétek megszüntetése</t>
  </si>
  <si>
    <t>ALAPADATOK</t>
  </si>
  <si>
    <t>1. költségvetési szerv neve</t>
  </si>
  <si>
    <t>2. költségvetési szerv neve</t>
  </si>
  <si>
    <t>3. költségvetési szerv neve</t>
  </si>
  <si>
    <t>4. költségvetési szerv neve</t>
  </si>
  <si>
    <t>5. költségvetési szerv neve</t>
  </si>
  <si>
    <t>6. költségvetési szerv neve</t>
  </si>
  <si>
    <t>6 kvi név</t>
  </si>
  <si>
    <t>7. költségvetési szerv neve</t>
  </si>
  <si>
    <t>7 kvi név</t>
  </si>
  <si>
    <t>8. költségvetési szerv neve</t>
  </si>
  <si>
    <t>8 kvi név</t>
  </si>
  <si>
    <t>9 kvi név</t>
  </si>
  <si>
    <t>10. költségvetési szerv neve</t>
  </si>
  <si>
    <t>10 kvi név</t>
  </si>
  <si>
    <t>2.1. melléklet</t>
  </si>
  <si>
    <t>05</t>
  </si>
  <si>
    <t>06</t>
  </si>
  <si>
    <t>07</t>
  </si>
  <si>
    <t>Zárszámadási rendelet űrlapjainak összefüggései:</t>
  </si>
  <si>
    <t>Beruházási (felhalmozási) kiadások előirányzata és teljesítése beruházásonként</t>
  </si>
  <si>
    <t>Felújítási kiadások előirányzata és teljesítése felújításonként</t>
  </si>
  <si>
    <t>6.1. melléklet</t>
  </si>
  <si>
    <t>Kötelezettség
jogcíme</t>
  </si>
  <si>
    <t>Kötelezettség- 
vállalás 
éve</t>
  </si>
  <si>
    <t>Összes vállalt kötelezettség</t>
  </si>
  <si>
    <t>Kötelezettségek a következő években</t>
  </si>
  <si>
    <t>Még fennálló kötelezettség</t>
  </si>
  <si>
    <t xml:space="preserve">B </t>
  </si>
  <si>
    <t>J=(F+…+I)</t>
  </si>
  <si>
    <t>Működési célú
hiteltörlesztés (tőke+kamat)</t>
  </si>
  <si>
    <t>............................</t>
  </si>
  <si>
    <t>Felhalmozási célú
hiteltörlesztés (tőke+kamat)</t>
  </si>
  <si>
    <t xml:space="preserve">Hitel, kölcsön </t>
  </si>
  <si>
    <t>Kölcsön-
nyújtás
éve</t>
  </si>
  <si>
    <t xml:space="preserve">Lejárat
éve </t>
  </si>
  <si>
    <t>Hitel, kölcsön állomány december 31-én</t>
  </si>
  <si>
    <t xml:space="preserve">Rövid lejáratú </t>
  </si>
  <si>
    <t>Hosszú lejáratú</t>
  </si>
  <si>
    <t>Összesen (1+8)</t>
  </si>
  <si>
    <t xml:space="preserve">Adósságállomány 
eszközök szerint </t>
  </si>
  <si>
    <t>Nem lejárt</t>
  </si>
  <si>
    <t>Lejárt</t>
  </si>
  <si>
    <t>1-90 nap közötti</t>
  </si>
  <si>
    <t>91-180 nap közötti</t>
  </si>
  <si>
    <t>181-360 nap közötti</t>
  </si>
  <si>
    <t>360 napon 
túli</t>
  </si>
  <si>
    <t>Összes lejárt tartozás</t>
  </si>
  <si>
    <t>H=(D+…+G)</t>
  </si>
  <si>
    <t>I=(C+H)</t>
  </si>
  <si>
    <t>I. Belföldi hitelezők</t>
  </si>
  <si>
    <t>Adóhatósággal szembeni tartozások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</si>
  <si>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</si>
  <si>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</si>
  <si>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</si>
  <si>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</si>
  <si>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</si>
  <si>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</si>
  <si>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</si>
  <si>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Tervezett</t>
  </si>
  <si>
    <t>Tényleges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</si>
  <si>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</si>
  <si>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</si>
  <si>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</si>
  <si>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</si>
  <si>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</si>
  <si>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</si>
  <si>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</si>
  <si>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</si>
  <si>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</si>
  <si>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</si>
  <si>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</si>
  <si>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</si>
  <si>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Egyéb kedvezmény</t>
  </si>
  <si>
    <t>Egyéb kölcsön elengedése</t>
  </si>
  <si>
    <t>A helyi adókból biztosított kedvezményeket, mentességeket, adónemenként kell feltüntetni.</t>
  </si>
  <si>
    <t>Támogatott szervezet neve</t>
  </si>
  <si>
    <t>Támogatás célja</t>
  </si>
  <si>
    <t>Tervezett 
(E Ft)</t>
  </si>
  <si>
    <t>Tényleges 
(E Ft)</t>
  </si>
  <si>
    <t>29.</t>
  </si>
  <si>
    <t>30.</t>
  </si>
  <si>
    <t>31.</t>
  </si>
  <si>
    <t>32.</t>
  </si>
  <si>
    <t>33.</t>
  </si>
  <si>
    <t>ESZKÖZÖK</t>
  </si>
  <si>
    <t>Sorszám</t>
  </si>
  <si>
    <t>Bruttó</t>
  </si>
  <si>
    <t xml:space="preserve">Könyv szerinti </t>
  </si>
  <si>
    <t>állományi érték</t>
  </si>
  <si>
    <t xml:space="preserve">A </t>
  </si>
  <si>
    <t xml:space="preserve"> I. Immateriális javak </t>
  </si>
  <si>
    <t>01.</t>
  </si>
  <si>
    <t>II. Tárgyi eszközök (03+08+13+18+23)</t>
  </si>
  <si>
    <t>02.</t>
  </si>
  <si>
    <t>1. Ingatlanok és kapcsolódó vagyoni értékű jogok   (04+05+06+07)</t>
  </si>
  <si>
    <t>03.</t>
  </si>
  <si>
    <t>1.1. Forgalomképtelen ingatlanok és kapcsolódó vagyoni értékű jogok</t>
  </si>
  <si>
    <t>04.</t>
  </si>
  <si>
    <t>1.2. Nemzetgazdasági szempontból kiemelt jelentőségű ingatlanok és kapcsolódó 
       vagyoni értékű jogok</t>
  </si>
  <si>
    <t>05.</t>
  </si>
  <si>
    <t>1.3. Korlátozottan forgalomképes ingatlanok és kapcsolódó vagyoni értékű jogok</t>
  </si>
  <si>
    <t>06.</t>
  </si>
  <si>
    <t>1.4. Üzleti ingatlanok és kapcsolódó vagyoni értékű jogok</t>
  </si>
  <si>
    <t>07.</t>
  </si>
  <si>
    <t>2. Gépek, berendezések, felszerelések, járművek (09+10+11+12)</t>
  </si>
  <si>
    <t>08.</t>
  </si>
  <si>
    <t>2.1. Forgalomképtelen gépek, berendezések, felszerelések, járművek</t>
  </si>
  <si>
    <t>09.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</si>
  <si>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</si>
  <si>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</si>
  <si>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</si>
  <si>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</si>
  <si>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</si>
  <si>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</si>
  <si>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</si>
  <si>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</si>
  <si>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</si>
  <si>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</si>
  <si>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</si>
  <si>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</si>
  <si>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</si>
  <si>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</si>
  <si>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</si>
  <si>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</si>
  <si>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</si>
  <si>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</si>
  <si>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</si>
  <si>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</si>
  <si>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</si>
  <si>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</si>
  <si>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</si>
  <si>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</si>
  <si>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</si>
  <si>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34.</t>
  </si>
  <si>
    <t>2.1. Forgalomképtelen tartós hitelviszonyt megtestesítő értékpapírok</t>
  </si>
  <si>
    <t>35.</t>
  </si>
  <si>
    <t>2.2. Nemzetgazdasági szempontból kiemelt jelentőségű tartós hitelviszonyt 
       megtestesítő értékpapírok</t>
  </si>
  <si>
    <t>36.</t>
  </si>
  <si>
    <t>2.3. Korlátozottan forgalomképes tartós hitelviszonyt megtestesítő értékpapírok</t>
  </si>
  <si>
    <t>37.</t>
  </si>
  <si>
    <t>2.4. Üzleti tartós hitelviszonyt megtestesítő értékpapírok</t>
  </si>
  <si>
    <t>38.</t>
  </si>
  <si>
    <t>3. Befektetett pénzügyi eszközök értékhelyesbítése (40+41+42+43)</t>
  </si>
  <si>
    <t>39.</t>
  </si>
  <si>
    <t>3.1. Forgalomképtelen befektetett pénzügyi eszközök értékhelyesbítése</t>
  </si>
  <si>
    <t>40.</t>
  </si>
  <si>
    <t>3.2. Nemzetgazdasági szempontból kiemelt jelentőségű befektetett pénzügyi 
       eszközök értékhelyesbítése</t>
  </si>
  <si>
    <t>41.</t>
  </si>
  <si>
    <t>3.3. Korlátozottan forgalomképes befektetett pénzügyi eszközök értékhelyesbítése</t>
  </si>
  <si>
    <t>42.</t>
  </si>
  <si>
    <t>3.4. Üzleti befektetett pénzügyi eszközök értékhelyesbítése</t>
  </si>
  <si>
    <t>43.</t>
  </si>
  <si>
    <t>IV. Koncesszióba, vagyonkezelésbe adott eszközök</t>
  </si>
  <si>
    <t>44.</t>
  </si>
  <si>
    <t>A) NEMZETI VAGYONBA TARTOZÓ BEFEKTETETT ESZKÖZÖK 
     (01+02+28+44)</t>
  </si>
  <si>
    <t>45.</t>
  </si>
  <si>
    <t>I. Készletek</t>
  </si>
  <si>
    <t>46.</t>
  </si>
  <si>
    <t>II. Értékpapírok</t>
  </si>
  <si>
    <t>47.</t>
  </si>
  <si>
    <t>B) NEMZETI VAGYONBA TARTOZÓ FORGÓESZKÖZÖK (46+47)</t>
  </si>
  <si>
    <t>48.</t>
  </si>
  <si>
    <t>I. Lekötött bankbetétek</t>
  </si>
  <si>
    <t>49.</t>
  </si>
  <si>
    <t>II. Pénztárak, csekkek, betétkönyvek</t>
  </si>
  <si>
    <t>50.</t>
  </si>
  <si>
    <t>III. Forintszámlák</t>
  </si>
  <si>
    <t>51.</t>
  </si>
  <si>
    <t>IV. Devizaszámlák</t>
  </si>
  <si>
    <t>52.</t>
  </si>
  <si>
    <t>C) PÉNZESZKÖZÖK (49+50+51+52)</t>
  </si>
  <si>
    <t>53.</t>
  </si>
  <si>
    <t>I. Költségvetési évben esedékes követelések</t>
  </si>
  <si>
    <t>54.</t>
  </si>
  <si>
    <t>II. Költségvetési évet követően esedékes követelések</t>
  </si>
  <si>
    <t>55.</t>
  </si>
  <si>
    <t>III. Követelés jellegű sajátos elszámolások</t>
  </si>
  <si>
    <t>56.</t>
  </si>
  <si>
    <t>D) KÖVETELÉSEK (54+55+56)</t>
  </si>
  <si>
    <t>57.</t>
  </si>
  <si>
    <t>II. Utalványok, bérletek és más hasonló, készpénz-helyettesítő fizetési 
     eszköznek nem minősülő eszközök elszámolásai</t>
  </si>
  <si>
    <t>F) AKTÍV IDŐBELI ELHATÁROLÁSOK</t>
  </si>
  <si>
    <t>61.</t>
  </si>
  <si>
    <t>ESZKÖZÖK ÖSSZESEN  (45+48+53+57+60+61)</t>
  </si>
  <si>
    <t>62.</t>
  </si>
  <si>
    <t>FORRÁSOK</t>
  </si>
  <si>
    <t>állományi 
érték</t>
  </si>
  <si>
    <t>I. Nemzeti vagyon induláskori értéke</t>
  </si>
  <si>
    <t>II. Nemzeti vagyon változásai</t>
  </si>
  <si>
    <t>III. Egyéb eszközök induláskori értéke és változásai</t>
  </si>
  <si>
    <t>IV. Felhalmozott eredmény</t>
  </si>
  <si>
    <t>V. Eszközök értékhelyesbítésének forrása</t>
  </si>
  <si>
    <t>VI. Mérleg szerinti eredmény</t>
  </si>
  <si>
    <t>G) SAJÁT TŐKE (01+….+06)</t>
  </si>
  <si>
    <t>I. Költségvetési évben esedékes kötelezettségek</t>
  </si>
  <si>
    <t>II. Költségvetési évet követően esedékes kötelezettségek</t>
  </si>
  <si>
    <t>III. Kötelezettség jellegű sajátos elszámolások</t>
  </si>
  <si>
    <t>H) KÖTELEZETTSÉGEK (08+09+10)</t>
  </si>
  <si>
    <t>I) KINCSTÁRI SZÁMLAVEZETÉSSEL KAPCSOLATOS ELSZÁMOLÁSOK</t>
  </si>
  <si>
    <t>J) PASSZÍV IDŐBELI ELHATÁROLÁSOK</t>
  </si>
  <si>
    <t>FORRÁSOK ÖSSZESEN  (07+11+12+13)</t>
  </si>
  <si>
    <t>Mennyiség
(db)</t>
  </si>
  <si>
    <t>Értéke
(Ft)</t>
  </si>
  <si>
    <t>„0”-ra leírt eszközök</t>
  </si>
  <si>
    <t>Használatban lévő kisértékű immateriális javak</t>
  </si>
  <si>
    <t>Használatban lévő kisértékű tárgyi eszközök</t>
  </si>
  <si>
    <t>Készletek</t>
  </si>
  <si>
    <t>01 számlacsoportban nyilvántartott befektetett eszközök (6+…+9)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</si>
  <si>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</si>
  <si>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</si>
  <si>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</si>
  <si>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</si>
  <si>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02 számlacsoportban nyilvántartott készletek (11+…+13)</t>
  </si>
  <si>
    <t> Bérbe vett készletek</t>
  </si>
  <si>
    <t> Letétbe bizományba átvett készletek</t>
  </si>
  <si>
    <t> Intervenciós készletek</t>
  </si>
  <si>
    <t>Gyűjtemény, régészeti lelet* (15+…+17)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</si>
  <si>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</si>
  <si>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</si>
  <si>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</si>
  <si>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</si>
  <si>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Összesen (1+…+4)+5+10+14+(18+…+31):</t>
  </si>
  <si>
    <t>* Nvt. 1. § (2) bekezdés g) és h) pontja szerinti kulturális javak és régészeti eszközök</t>
  </si>
  <si>
    <t>Gazdálkodó szervezet megnevezése</t>
  </si>
  <si>
    <t>Részesedés mértéke (%-ban)</t>
  </si>
  <si>
    <t>Részesedés összege (Ft-ban)</t>
  </si>
  <si>
    <t xml:space="preserve">       ÖSSZESEN:</t>
  </si>
  <si>
    <t>PÉNZESZKÖZÖK VÁLTOZÁSÁNAK LEVEZETÉSE</t>
  </si>
  <si>
    <t>Összeg  (Ft )</t>
  </si>
  <si>
    <r>
      <t xml:space="preserve"> </t>
    </r>
    <r>
      <rPr>
        <sz val="10"/>
        <rFont val="Times New Roman CE"/>
        <family val="1"/>
        <charset val="238"/>
      </rPr>
      <t>Bankszámlák egyenlege</t>
    </r>
  </si>
  <si>
    <r>
      <t xml:space="preserve"> </t>
    </r>
    <r>
      <rPr>
        <sz val="10"/>
        <rFont val="Times New Roman CE"/>
        <family val="1"/>
        <charset val="238"/>
      </rPr>
      <t>Pénztárak és betétkönyvek egyenlege</t>
    </r>
  </si>
  <si>
    <t>Bevételek   ( + )</t>
  </si>
  <si>
    <t>Kiadások    ( - )</t>
  </si>
  <si>
    <t>Egyéb korrekciós tételek (+,-)</t>
  </si>
  <si>
    <t>1. tájékoztató tábla</t>
  </si>
  <si>
    <t>Többéves kihatással járó döntésekből származó kötzelezettségek célok szerinti, évenkénti bontásban</t>
  </si>
  <si>
    <t>2. tájékoztató tábla</t>
  </si>
  <si>
    <t>3. tájékoztató tábla</t>
  </si>
  <si>
    <t>4. tájékoztató tábla</t>
  </si>
  <si>
    <t>5. tájékoztató tábla</t>
  </si>
  <si>
    <t>K I M U T A T Á S</t>
  </si>
  <si>
    <t>6. tájékoztató tábla</t>
  </si>
  <si>
    <t>7.1. tájékoztató tábla</t>
  </si>
  <si>
    <t>VAGYONKIMUTATÁS</t>
  </si>
  <si>
    <t>7.2. tájékoztató tábla</t>
  </si>
  <si>
    <t>7.3. tájékoztató tábla</t>
  </si>
  <si>
    <t>8. tájékoztató tábla</t>
  </si>
  <si>
    <t>9. tájékoztató tábla</t>
  </si>
  <si>
    <t>Tartalomjegyzék</t>
  </si>
  <si>
    <t>Dokumentum neve</t>
  </si>
  <si>
    <t>A dokumentációs rendszerben található táblázatok listája</t>
  </si>
  <si>
    <t>Ugrás</t>
  </si>
  <si>
    <t>Alapadatok</t>
  </si>
  <si>
    <t>Adatok megadása</t>
  </si>
  <si>
    <t>Összefüggések</t>
  </si>
  <si>
    <t xml:space="preserve">1.1. melléklet </t>
  </si>
  <si>
    <t>Működési célú bevételek, kiadások mérlege</t>
  </si>
  <si>
    <t>Felhalmozási célú bevételek, kiadások mérlege</t>
  </si>
  <si>
    <t>Ellenőrző lista</t>
  </si>
  <si>
    <t>Ellenőrzés az 1-es és 2.1., 2.2. mellékletek adati esetében</t>
  </si>
  <si>
    <t>3. melléklet</t>
  </si>
  <si>
    <t>Beruházási (felhalmozási) kiadások előirányzata beruházásonként</t>
  </si>
  <si>
    <t>4. melléklet</t>
  </si>
  <si>
    <t>Felújítási kiadások előirányzata felújításonként</t>
  </si>
  <si>
    <t>5. melléklet</t>
  </si>
  <si>
    <t>Összes  bevétel, kiadás</t>
  </si>
  <si>
    <t>6.2. melléklet</t>
  </si>
  <si>
    <t>6.3. melléklet</t>
  </si>
  <si>
    <t>6.4. melléklet</t>
  </si>
  <si>
    <t>6.5. melléklet</t>
  </si>
  <si>
    <t>6.6. melléklet</t>
  </si>
  <si>
    <t>6.7. melléklet</t>
  </si>
  <si>
    <t>ZÁRSZÁMADÁSI RENDLET</t>
  </si>
  <si>
    <t>Pénzeszköz változás levezetése</t>
  </si>
  <si>
    <t>a könyvviteli mérlegben értékkel szereplő forrásokról</t>
  </si>
  <si>
    <t>a</t>
  </si>
  <si>
    <t>/</t>
  </si>
  <si>
    <t>(</t>
  </si>
  <si>
    <t>)</t>
  </si>
  <si>
    <t>önkormányzati rendelethez</t>
  </si>
  <si>
    <t>Táblázatok adatainak összefüggései</t>
  </si>
  <si>
    <t>Előterjesztéskor</t>
  </si>
  <si>
    <t>Az önkormányzat által nyújtott hitel és kölcsön alakulása lejárat és eszközök szerinti bontásban</t>
  </si>
  <si>
    <t>Forintban</t>
  </si>
  <si>
    <t>Tényleges támogatás összege</t>
  </si>
  <si>
    <t>Költségvetési szerv neve</t>
  </si>
  <si>
    <t>Költségvetési maradvány összege</t>
  </si>
  <si>
    <t>Elvonás
(-)</t>
  </si>
  <si>
    <t>Intézményt megillető maradvány</t>
  </si>
  <si>
    <t>Jóváhagyott</t>
  </si>
  <si>
    <t>Jóváhagyott-ból működési</t>
  </si>
  <si>
    <t>Jóváhagyott-ból felhalmozási</t>
  </si>
  <si>
    <r>
      <t>E=(C</t>
    </r>
    <r>
      <rPr>
        <b/>
        <sz val="8"/>
        <rFont val="Arial"/>
        <family val="2"/>
        <charset val="238"/>
      </rPr>
      <t>-D</t>
    </r>
    <r>
      <rPr>
        <b/>
        <sz val="8"/>
        <rFont val="Times New Roman CE"/>
        <family val="1"/>
        <charset val="238"/>
      </rPr>
      <t>)</t>
    </r>
  </si>
  <si>
    <t>KÖLTSÉGVETÉSI SZERVEK MARADVÁNYÁNAK ALAKULÁSA</t>
  </si>
  <si>
    <t>7. melléklet</t>
  </si>
  <si>
    <t>8. melléklet</t>
  </si>
  <si>
    <t>. évi</t>
  </si>
  <si>
    <t>Forintban!</t>
  </si>
  <si>
    <t>Mellékletben külön?</t>
  </si>
  <si>
    <t>.</t>
  </si>
  <si>
    <t>Igen</t>
  </si>
  <si>
    <t>Összes
 tartozás</t>
  </si>
  <si>
    <t>Tiszavasvári Város Önkormányzata</t>
  </si>
  <si>
    <t>Tiszavasvári Polgármesteri Hivatal</t>
  </si>
  <si>
    <t>Városi Kincstár</t>
  </si>
  <si>
    <t>Egyesített Óvodai Intézmény</t>
  </si>
  <si>
    <t>Egyesített Közművelődési Intézmény és Könyvtár</t>
  </si>
  <si>
    <t>Kornisné Liptay Elza Szociális és Gyermekjóléti Központ</t>
  </si>
  <si>
    <t>Tiszavasvári Bölcsőde</t>
  </si>
  <si>
    <t>Kimutatás az Európai Uniós forrásból finanszírozott projektekről</t>
  </si>
  <si>
    <t>J</t>
  </si>
  <si>
    <t>K</t>
  </si>
  <si>
    <t>L</t>
  </si>
  <si>
    <t>M</t>
  </si>
  <si>
    <t>Program azonosítószáma</t>
  </si>
  <si>
    <t>Program megnevezése</t>
  </si>
  <si>
    <t>Támogatói döntés dátuma</t>
  </si>
  <si>
    <t>Támogatási szerződés szerinti költségbontás</t>
  </si>
  <si>
    <t>Kormányzati támogatás</t>
  </si>
  <si>
    <t>EU támogatás</t>
  </si>
  <si>
    <t>Összesen (E+F+G)</t>
  </si>
  <si>
    <t>EU támogatás és hazai társfinanszírozás</t>
  </si>
  <si>
    <t>Összesen (J+K)</t>
  </si>
  <si>
    <t>TOP-1.2.1-15-SB1-2016-00018</t>
  </si>
  <si>
    <t>A Nyíri Mezőség turisztikai kínálatának integrált fejlesztése - Természeti és kulturális vonzerők, termékcsomagok fejlesztése a Nyíri Mezőségben</t>
  </si>
  <si>
    <t>EFOP-1.2.11-16-2017-00009</t>
  </si>
  <si>
    <t>Esély és otthon - mindkettő lehetséges! Komplex beavatkozások megvalósítása a fiatalok elvándorlásának csökkentése érdekében Tiszavasváriban</t>
  </si>
  <si>
    <t>TOP-7.1.1-16-ERFA-2018-00028</t>
  </si>
  <si>
    <t>Találkozások tere kialakítása Tiszavasváriban</t>
  </si>
  <si>
    <t xml:space="preserve">  2019.02.27.
</t>
  </si>
  <si>
    <t>Zöld városközpont kialakítása Tiszavasváriban</t>
  </si>
  <si>
    <t>TOP-5.2.1-15-SB1-2016-00011</t>
  </si>
  <si>
    <t>Komplex felzárkóztató programok Tiszavasvári Külső-Szentmihály városrészen  (megvalósító: Önkormányzat)</t>
  </si>
  <si>
    <t>Komplex felzárkóztató programok Tiszavasvári Külső-Szentmihály városrészen  (megvalósító: Kornisné Központ)</t>
  </si>
  <si>
    <t>TOP-1.1.1-15-SB1-2016-00005</t>
  </si>
  <si>
    <t>Iparterület kialakítása Tiszavasváriban</t>
  </si>
  <si>
    <t>Önkormányzat</t>
  </si>
  <si>
    <t>1.3.1.</t>
  </si>
  <si>
    <t>1.3.2.</t>
  </si>
  <si>
    <t>Települési önkormányzatok egyes szociális és gyermekjóléti feladatainak támogatása teljesítése</t>
  </si>
  <si>
    <t>Települési önkormányzatok gyermekétkeztetési feladatainak támogatása teljesítése</t>
  </si>
  <si>
    <t>Önkormányzatok szociális és gyermekjóléti feladatainak támogatása (1.3.1.+1.3.2.)</t>
  </si>
  <si>
    <t>Hivatal</t>
  </si>
  <si>
    <t>Intézmények</t>
  </si>
  <si>
    <t>Helyi adók (4.1.1.+4.1.2.)</t>
  </si>
  <si>
    <t>4.1.1.</t>
  </si>
  <si>
    <t>- Vagyoni típúsu adók</t>
  </si>
  <si>
    <t>4.1.2.</t>
  </si>
  <si>
    <t>- Értékesítési és forgalmi adók</t>
  </si>
  <si>
    <t>Jövedelemadó</t>
  </si>
  <si>
    <t>Egyéb áruhasználati és szolgáltatási adók</t>
  </si>
  <si>
    <t>Egyéb közhatalmi bevételek</t>
  </si>
  <si>
    <t>Közhatalmi bevételek (4.1.+…+4.4.)</t>
  </si>
  <si>
    <t>Különbözet</t>
  </si>
  <si>
    <t>Államháztartáson belüli megelőlegezés</t>
  </si>
  <si>
    <t>Képviselői informatikai eszköz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</si>
  <si>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</si>
  <si>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</si>
  <si>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</si>
  <si>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</si>
  <si>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</si>
  <si>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</si>
  <si>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</si>
  <si>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</si>
  <si>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Esély és otthon - Minkettő lehetséges! Pályázat tárgyi eszköz beszerzés</t>
  </si>
  <si>
    <t>Közúti jelzőtáblák</t>
  </si>
  <si>
    <t>Térfigyelő kamerarendszer</t>
  </si>
  <si>
    <t>Játszótér kialakítása - Csónakázó tó</t>
  </si>
  <si>
    <t>Minimanó Óvoda családbarát infrastrukturális fejlesztése</t>
  </si>
  <si>
    <t>Tiszavasvári Polgármesteri Hivatal összesen:</t>
  </si>
  <si>
    <t>Informatikai eszközök beszerzése</t>
  </si>
  <si>
    <t>Egyéb tárgyi eszköz beszerzés (Klíma, polc, szék, stb.)</t>
  </si>
  <si>
    <t>2020-2021</t>
  </si>
  <si>
    <t>2018-2021</t>
  </si>
  <si>
    <t>2020-2022</t>
  </si>
  <si>
    <t>Víziközmű rendszer éves felújítás</t>
  </si>
  <si>
    <t>Esély és otthon - Minkettő lehetséges! Pályázat felújítás</t>
  </si>
  <si>
    <t>Sopron úti épület felújítása</t>
  </si>
  <si>
    <t>Sportcsarnok felújításával kapcsolatos amperbővítés</t>
  </si>
  <si>
    <t>Önkormányzat összesen:</t>
  </si>
  <si>
    <t>G=(D+G+H)</t>
  </si>
  <si>
    <t>Szabadidős Programszervező Egyesület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</si>
  <si>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</si>
  <si>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</si>
  <si>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</si>
  <si>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</si>
  <si>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</si>
  <si>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Tiszavasvári Fűvószenekari Alapítvány</t>
  </si>
  <si>
    <t>Tiszavasvári SE TAO pályázat önerő-2019 kézilabda</t>
  </si>
  <si>
    <t>Tiszavasvári SE TAO pályázat önerő-2019 labdarúgás</t>
  </si>
  <si>
    <t>Olimpia Barátok Köre</t>
  </si>
  <si>
    <t>Tiva-Szolg feladatellátási szerződés alapján támogatás</t>
  </si>
  <si>
    <t>Tiva-Szolg köztemető üzemeltetési támogatás</t>
  </si>
  <si>
    <t>Esély és otthon mindettő lehetséges pályázat</t>
  </si>
  <si>
    <t>működési célú támogatás</t>
  </si>
  <si>
    <t>felhalmozási célú támogatás</t>
  </si>
  <si>
    <t>Tiva-Szolg Nonprofit Kft.</t>
  </si>
  <si>
    <t>Hajdúkerületi és Bihari Víziközmű Szolgáltató Zrt.</t>
  </si>
  <si>
    <t>OTP Bank Nyrt.</t>
  </si>
  <si>
    <t>Tiszavasvári Város Önkormányzat</t>
  </si>
  <si>
    <t>Jogcím/Megnevezés</t>
  </si>
  <si>
    <t>Önkormányzati Hivatal működésének támogatása</t>
  </si>
  <si>
    <t>Lakott külterülettel kapcsolatos feladatok támogatása</t>
  </si>
  <si>
    <t>Folyószámlahitel*(keret: 100 000eFt)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</si>
  <si>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</si>
  <si>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</si>
  <si>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</si>
  <si>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TSE TAO hitel 2017</t>
  </si>
  <si>
    <t>Tiszavasvári Egyesített Óvodai Intézmény Minimanó óvodájának részleges felújítása</t>
  </si>
  <si>
    <t>Varázsceruza Óvoda részleges felújítása III. ütem</t>
  </si>
  <si>
    <t>Gépállomás út 3. szám alatti ingatlan tetőszigetelése, nyílászáró cseréje</t>
  </si>
  <si>
    <t>Magiszter Alapítványi iskola tornatermének tetőfelújítása</t>
  </si>
  <si>
    <t>Kornisné Központ végleges engedély megszerzése miatti hitel</t>
  </si>
  <si>
    <t>TSK TAO felhalmozási célú hitel 2018</t>
  </si>
  <si>
    <t>TSE három TAO felhalmozási célú hitel 2018 (Nem került még a hitel lehívásra. - 22.202.197 Ft)</t>
  </si>
  <si>
    <t>Ingatlanvásárlási hitel 2018</t>
  </si>
  <si>
    <t>2019. évi két TAO pályázat felh.részének a finanszírozása hitel</t>
  </si>
  <si>
    <t>Kossuth Ifjuság úti ker.gyalogátkelőhely kialakítása</t>
  </si>
  <si>
    <t>2020. évi önkormányzati fejlesztések hitel</t>
  </si>
  <si>
    <t>Összesen (1+3)</t>
  </si>
  <si>
    <t>NEMLEGES</t>
  </si>
  <si>
    <t>Egyéb tárgyi eszközök beszerzése</t>
  </si>
  <si>
    <t>Tiszavasvári Egyesített Óvodai Intézmény összesen:</t>
  </si>
  <si>
    <t>Egyesített Közművelődési Intézmény és Könyvtár összesen:</t>
  </si>
  <si>
    <t>Kornisné Liptay Elza Szociális és Gyermekjóléti Központ összesen:</t>
  </si>
  <si>
    <t>Tiszavasvári Bölcsőde összesen:</t>
  </si>
  <si>
    <t>Fülemüle Óvoda kerítés felújítás</t>
  </si>
  <si>
    <t>Pályázati forrás terhére foglalkoztatható létszám (fő)</t>
  </si>
  <si>
    <t>TOP pályázat keretében foglalkoztatott létszám (fő)</t>
  </si>
  <si>
    <t>GINOP pályázatok (fő)</t>
  </si>
  <si>
    <t>Megváltozott mumkaképességű munkavállalók foglalkoztatása (fő)</t>
  </si>
  <si>
    <t>Gyakorlati képzés (fő)</t>
  </si>
  <si>
    <t>I. Előzetesen felszámított általános forgalmi adó elszámolása</t>
  </si>
  <si>
    <t>II. Fizetendő általános forgalmi adó elszámolása</t>
  </si>
  <si>
    <t>63.</t>
  </si>
  <si>
    <t>GINOP pályázatok és nyári diákmunka (fő)</t>
  </si>
  <si>
    <t>Az önkormányzat által adott közvetett támogatások (kedvezménye)</t>
  </si>
  <si>
    <t>a könyvviteli mérlegben értékkel szereplő eszközökről</t>
  </si>
  <si>
    <t>az érték nélkül nyilvántartott eszközökről</t>
  </si>
  <si>
    <t>TOP-1.4.1-15-SB1-2016-00077</t>
  </si>
  <si>
    <t>A Tiszavasvári Minimanó Óvoda Családbarát infrastrukturális fejlesztése</t>
  </si>
  <si>
    <t>KEHOP-1.2.1-18-2018-00048</t>
  </si>
  <si>
    <t>TOP-2.1.2-15-SB1-2017-00028</t>
  </si>
  <si>
    <t>2021. évi</t>
  </si>
  <si>
    <t>2021. XII. 31.
teljesítés</t>
  </si>
  <si>
    <t>Közhatalmi bevételek (4.1.+4.2.+4.3.+4.4.)</t>
  </si>
  <si>
    <t>Működési célú finanszírozási bevételek összesen (9.+15.+18.+19.)</t>
  </si>
  <si>
    <t xml:space="preserve">   Likviditási célú hitelek, kölcsönök felvétele</t>
  </si>
  <si>
    <t>Költségvetési bevételek összesen (1.+2.+4.+5.+6.)</t>
  </si>
  <si>
    <t>Hiány belső finanszírozásának bevételei (10.+…+14. )</t>
  </si>
  <si>
    <t xml:space="preserve">Hiány külső finanszírozásának bevételei (16.+17.) </t>
  </si>
  <si>
    <t>Működési célú finanszírozási kiadások összesen (9.+...+19.)</t>
  </si>
  <si>
    <t>Költségvetési kiadások összesen (1.+...+7.)</t>
  </si>
  <si>
    <t>Költségvetési bevételek összesen: (1.+3.+4.+6.)</t>
  </si>
  <si>
    <t>Hiány belső finanszírozás bevételei ( 9+…+13)</t>
  </si>
  <si>
    <t>Hiány külső finanszírozásának bevételei (15+…+19 )</t>
  </si>
  <si>
    <t>Felhalmozási célú finanszírozási bevételek összesen (8.+14.)</t>
  </si>
  <si>
    <t>BEVÉTEL ÖSSZESEN (7+20)</t>
  </si>
  <si>
    <t>KIADÁSOK ÖSSZESEN (7+20)</t>
  </si>
  <si>
    <t>Felhalmozási célú finanszírozási kiadások összesen
(8.+...+19.)</t>
  </si>
  <si>
    <t>Költségvetési kiadások összesen: (1.+3.+5.+6.)</t>
  </si>
  <si>
    <t>BEVÉTEL ÖSSZESEN (8.+20.)</t>
  </si>
  <si>
    <t>KIADÁS ÖSSZESEN (8.+20.)</t>
  </si>
  <si>
    <t>2021</t>
  </si>
  <si>
    <t>Közterület felügyelő (Munka, védőruha, tárgyi eszköz beszerzés stb.)</t>
  </si>
  <si>
    <t>2021. évi fordított áfa teljesítés</t>
  </si>
  <si>
    <t>2019-2021</t>
  </si>
  <si>
    <t xml:space="preserve">Egyéb tárgyi eszközök beszerzése </t>
  </si>
  <si>
    <t>Egyéb tárgyi eszközök beszerzése alapítványi támogatásból</t>
  </si>
  <si>
    <t>Játszótéri eszközök</t>
  </si>
  <si>
    <t>2021-2022</t>
  </si>
  <si>
    <t>Könyvtári könyvek beszerzése (Könyvtár 10 % kötelező)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</si>
  <si>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</si>
  <si>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</si>
  <si>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</si>
  <si>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</si>
  <si>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Egyéb tárgyi eszközök beszerzése (Találkozások Háza)</t>
  </si>
  <si>
    <t>Könytári érdekeltségnövelő támogatásból eszközök beszerzése</t>
  </si>
  <si>
    <t>Könyvtári könyvek beszerzése</t>
  </si>
  <si>
    <t>TOP pályázat keretében közvilágítást biztosító lámpatestek cseréje</t>
  </si>
  <si>
    <t>2019-2022</t>
  </si>
  <si>
    <t>Mezőőrség 2021. évi eszközbeszerzés</t>
  </si>
  <si>
    <t>Nem fertőző megbetegedések megelőzésével kapcsolatos tárgyi eszközök beszerzése</t>
  </si>
  <si>
    <t>Háziorvosi feladatok ellátásához szükséges eszközbeszerzés (számítógép, szoftver, egyéb eszközök)</t>
  </si>
  <si>
    <t>Tiszavasvári Gyógyfűrdő Fejlesztése projektfejlesztési szakasz</t>
  </si>
  <si>
    <t>Légkondicionáló</t>
  </si>
  <si>
    <t>2021-2021</t>
  </si>
  <si>
    <t xml:space="preserve">Mikrobusz a Kornisné Liptay Elza Szociális és Gyermekjóléti Központ Támogató Szolgálatának </t>
  </si>
  <si>
    <t>Konténer beszerzés (iroda, raktár)</t>
  </si>
  <si>
    <t>Infrastrukturális fejlesztések megvalósítása Tiszavasváriban - Gyepmesteri telep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</si>
  <si>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</si>
  <si>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</si>
  <si>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belterületi vízrendezés</t>
  </si>
  <si>
    <t xml:space="preserve">Tiszavasvári Komplex felzárkózási program </t>
  </si>
  <si>
    <t>2021-2023</t>
  </si>
  <si>
    <t xml:space="preserve">Tiszavasvári Komplex felzárkózási program szakmai rész </t>
  </si>
  <si>
    <t>Tiszavasvári Város közvilágításának ledes technológiával történő fejlesztése</t>
  </si>
  <si>
    <t>2021. évi fordított áfa előirányzata</t>
  </si>
  <si>
    <t>Vasvári P. u. 6. lépcsőházi ablakcsere két lépcsőházban</t>
  </si>
  <si>
    <t>Buszmegállók felújítása</t>
  </si>
  <si>
    <t>Sportcsarnok új vízvételezési rendszer kialakítása</t>
  </si>
  <si>
    <t>2020. évi fejlesztési pályázat (út és járda felújítás)</t>
  </si>
  <si>
    <t>2021. évi fejlesztési pályázat (Varázsceruza Óvoda felújítása)</t>
  </si>
  <si>
    <t>Önkormányzati bérlakás felújítás</t>
  </si>
  <si>
    <t>Zöld Liget áramkiépítés</t>
  </si>
  <si>
    <t>Infrastrukturális fejlesztések megvalósítása Tiszavasváriban - Járóbeteg szakrendelő felújítása</t>
  </si>
  <si>
    <t>Tiszavasvári Komplex felzárkózási program</t>
  </si>
  <si>
    <t>I=(D+G+H)</t>
  </si>
  <si>
    <t>2021. évi kiadás teljesítés bontása</t>
  </si>
  <si>
    <t>2021. december 31-ig beérkezett elfogadott előleg/támogatás</t>
  </si>
  <si>
    <t>2021. december 31-ig teljesített összes kiadás</t>
  </si>
  <si>
    <t>Saját erő/egyéb forrás</t>
  </si>
  <si>
    <t>TOP-7.1.1-16-H-029-4</t>
  </si>
  <si>
    <t>Együtt egy másért -  Társadalmi integrációt elősegítő programok megvalósítása Tiszavasváriban a Találkozások Házában</t>
  </si>
  <si>
    <t>TOP-7.1.1-16-H-029-2</t>
  </si>
  <si>
    <t>Kulturális és sportcélú infrastruktúra fejlesztése Tiszavasváriban</t>
  </si>
  <si>
    <t xml:space="preserve">TOP-7.1.1-16-H-029-4 </t>
  </si>
  <si>
    <t>EGYÜTT KÖNNYEBB -  Társadalmi integrációt elősegítő programok megvalósítása Tiszavasváriban a Városi Könyvtárban</t>
  </si>
  <si>
    <t>GYERE A TÉRRE -  Helyi közösségi programok megvalósítása Tiszavasváriban</t>
  </si>
  <si>
    <t>TOP-7.1.1-16-H-029-3</t>
  </si>
  <si>
    <r>
      <t xml:space="preserve">   Működési költségvetés kiadásai </t>
    </r>
    <r>
      <rPr>
        <sz val="8"/>
        <rFont val="Times New Roman CE"/>
        <charset val="238"/>
      </rPr>
      <t>(1.1+…+1.5.+1.17.)</t>
    </r>
  </si>
  <si>
    <r>
      <t xml:space="preserve">   Működési költségvetés kiadásai </t>
    </r>
    <r>
      <rPr>
        <sz val="8"/>
        <rFont val="Times New Roman CE"/>
        <charset val="238"/>
      </rPr>
      <t>(1.1+…+1.5+1.17.)</t>
    </r>
  </si>
  <si>
    <t>Jogcímszám</t>
  </si>
  <si>
    <t>1.1.1.1.</t>
  </si>
  <si>
    <t>1.1.1.2.</t>
  </si>
  <si>
    <t>Településüzemeltetés - zöldterület-gazdálkodás támogatása</t>
  </si>
  <si>
    <t>1.1.1.3.</t>
  </si>
  <si>
    <t>Településüzemeltetés - közvilágítás támogatása</t>
  </si>
  <si>
    <t>1.1.1.4.</t>
  </si>
  <si>
    <t>Településüzemeltetés - köztemető támogatása</t>
  </si>
  <si>
    <t>1.1.1.5.</t>
  </si>
  <si>
    <t>Településüzemeltetés - közutak támogatása</t>
  </si>
  <si>
    <t>1.1.1.6.</t>
  </si>
  <si>
    <t>Egyéb önkormányzati feladatok támogatása</t>
  </si>
  <si>
    <t>1.1.1.7.</t>
  </si>
  <si>
    <t>Bérkompenzáció támogatása</t>
  </si>
  <si>
    <t>A települési önkormányzatok működésének általános támogatása 1.1. = (1.+….+8.)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</si>
  <si>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</si>
  <si>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</si>
  <si>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</si>
  <si>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</si>
  <si>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1.2.3…...1.</t>
  </si>
  <si>
    <t>pedagógus II. kategóriába sorolt pedagógusok, pedagógus szakképzettséggel rendelkező segítők kiegészítő támogatása</t>
  </si>
  <si>
    <t>1.2.3…...2.</t>
  </si>
  <si>
    <t>mesterpedagógus, kutatótanár kategóriába sorolt pedagógusok kiegészítő támogatása</t>
  </si>
  <si>
    <t>1.2.5.1.1.</t>
  </si>
  <si>
    <t>pedagógus szakképzettséggel nem rendelkező segítők átlagbéralapú támogatása</t>
  </si>
  <si>
    <t>A települési önkormányzatok egyes köznevelési feladatainak támogatása 1.2. = (10.+...+14.)</t>
  </si>
  <si>
    <t>A települési önkormányzatok szociális és gyermekjóléti feladatainak egyéb támogatása</t>
  </si>
  <si>
    <t>1.3.2.1.</t>
  </si>
  <si>
    <t>Család- és gyermekjóléti szolgálat</t>
  </si>
  <si>
    <t>1.3.2.2.</t>
  </si>
  <si>
    <t>Család- és gyermekjóléti központ</t>
  </si>
  <si>
    <t>1.3.2.3.1.</t>
  </si>
  <si>
    <t>Szociális étkeztetés - önálló feladatellátás</t>
  </si>
  <si>
    <t>1.3.2.4.1.</t>
  </si>
  <si>
    <t>Szociális segítés</t>
  </si>
  <si>
    <t>1.3.2.4.2.</t>
  </si>
  <si>
    <t>Személyi gondozás - önálló feladatellátás</t>
  </si>
  <si>
    <t>1.3.2.5.</t>
  </si>
  <si>
    <t>Falugondnoki vagy tanyagondnoki szolgáltatás összesen</t>
  </si>
  <si>
    <t>1.3.2.6.1.</t>
  </si>
  <si>
    <t>Időskorúak nappali intézményi ellátása - önálló feladatellátás</t>
  </si>
  <si>
    <t>1.3.2.14.1.</t>
  </si>
  <si>
    <t>Támogató szolgáltatás Alaptámogatás</t>
  </si>
  <si>
    <t>1.3.2.14.2.</t>
  </si>
  <si>
    <t>Támogató szolgáltatás Teljesítménytámogatás</t>
  </si>
  <si>
    <t>2.2.2.</t>
  </si>
  <si>
    <t>Szociális ágazati összevont pótlék és egészségügyi kiegészítő pótlék</t>
  </si>
  <si>
    <t>2.2.3.</t>
  </si>
  <si>
    <t>Óvodai és iskolai szociális segítő tevékenység támogatása</t>
  </si>
  <si>
    <t>1.3.2.+2.2</t>
  </si>
  <si>
    <t>Egyes szociális és gyermekjóléti feladatok támogatása 1.3.2+2.2=(17.+…+27.)</t>
  </si>
  <si>
    <t>1.3.3.1.1.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</si>
  <si>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</si>
  <si>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</si>
  <si>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</si>
  <si>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</si>
  <si>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Bölcsődei üzemeltetési támogatás</t>
  </si>
  <si>
    <t>1.3.3.</t>
  </si>
  <si>
    <t xml:space="preserve">Bölcsőde, mini bölcsőde támogatása </t>
  </si>
  <si>
    <t>1.3.4.1.</t>
  </si>
  <si>
    <t>Bértámogatás</t>
  </si>
  <si>
    <t>1.3.4.2.</t>
  </si>
  <si>
    <t>Intézményüzemeltetési támogatás</t>
  </si>
  <si>
    <t>1.3.4.</t>
  </si>
  <si>
    <t>A települési önkormányzatok által biztosított egyes szociális szakosított ellátások, valamint a gyermekek átmeneti gondozásával kapcsolatos feladatok támogatása 1.3.4.=(29+30)</t>
  </si>
  <si>
    <t>1.3</t>
  </si>
  <si>
    <t>A települési önkormányzatok szociális és gyermekjóléti feladatainak támogatása 1.3.=(16.+28.+32.+35.)</t>
  </si>
  <si>
    <t>1.4.1.1.</t>
  </si>
  <si>
    <t xml:space="preserve">Intézményi gyermekétkeztetés - bértámogatás </t>
  </si>
  <si>
    <t>1.4.1.2.</t>
  </si>
  <si>
    <t>Intézményi gyermekétkeztetés - üzemeltetési támogatás</t>
  </si>
  <si>
    <t>1.4.2.</t>
  </si>
  <si>
    <t>Szünidei étkeztetés támogatása</t>
  </si>
  <si>
    <t>A települési önkormányzatok gyermekétkeztetési feladatainak támogatása 1.4.=(37.+38.+39.)</t>
  </si>
  <si>
    <t>1.5.2.</t>
  </si>
  <si>
    <t>Települési önkormányzatok nyilvános könyvtári és a közművelődési feladatainak támogatása</t>
  </si>
  <si>
    <t>2.3.2.3.</t>
  </si>
  <si>
    <t>A települési önkormányzatok muzeális intézményi feladatainak támogatása</t>
  </si>
  <si>
    <t>2.3.2.4.</t>
  </si>
  <si>
    <t>A települési önkormányzatok könyvtári célú érdekeltségnövelő támogatása</t>
  </si>
  <si>
    <t>A települési önkormányzatok kulturális feladatainak támogatása 1.5.=(41.+42.+43.)</t>
  </si>
  <si>
    <t>Önkormányzati szolidaritási hozzájárulás</t>
  </si>
  <si>
    <t>42.5.5.</t>
  </si>
  <si>
    <t>Összesen: 46.=(9.+15.+36.+40.+44.+45.+46.)</t>
  </si>
  <si>
    <t>2021. évi önkormányzati fejlesztések hitel</t>
  </si>
  <si>
    <t>Közvilágítás fejlesztése</t>
  </si>
  <si>
    <t>BURSA támogatás</t>
  </si>
  <si>
    <t>Tiszavasvári SE TAO pályázat önerő-2020 kézilabda</t>
  </si>
  <si>
    <t>Tiszavasvári SE TAO pályázat önerő-2020 labdarúgás</t>
  </si>
  <si>
    <t>2020. évi Képviselői felajánlások</t>
  </si>
  <si>
    <t>2021. I. félévi Képviselői felajánlások</t>
  </si>
  <si>
    <t>2021. II. félévi Képviselői felajánlások</t>
  </si>
  <si>
    <t xml:space="preserve"> </t>
  </si>
  <si>
    <t>E) EGYÉB SAJÁTOS  ELSZÁMOLÁSOK (58+59+60)</t>
  </si>
  <si>
    <t>58.</t>
  </si>
  <si>
    <t>59.</t>
  </si>
  <si>
    <t>60.</t>
  </si>
  <si>
    <t>Helyiségek hasznosítása utáni kedvezmény, mentesség</t>
  </si>
  <si>
    <t>Eszközök hasznosítása utáni kedvezmény, mentesség</t>
  </si>
  <si>
    <t>Polgármesteri Hivatal</t>
  </si>
  <si>
    <t>74 782 484 Ft</t>
  </si>
  <si>
    <t>40 175 916 Ft</t>
  </si>
  <si>
    <t>42 682 621 Ft</t>
  </si>
  <si>
    <t>TOP pályázat informatikai és tárgyi eszköz beszerzése</t>
  </si>
  <si>
    <t>Gyakorlati oktatás informatikai és egyéb tárgyi eszköz besz.</t>
  </si>
  <si>
    <t>Windows 10 licensz beszerzése</t>
  </si>
  <si>
    <t>V.30.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</si>
</sst>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H_U_F_-;\-* #,##0.00\ _H_U_F_-;_-* &quot;-&quot;??\ _H_U_F_-;_-@_-"/>
    <numFmt numFmtId="164" formatCode="#,##0\ &quot;Ft&quot;;[Red]\-#,##0\ &quot;Ft&quot;"/>
    <numFmt numFmtId="165" formatCode="_-* #,##0.00\ _F_t_-;\-* #,##0.00\ _F_t_-;_-* &quot;-&quot;??\ _F_t_-;_-@_-"/>
    <numFmt numFmtId="166" formatCode="#,###"/>
    <numFmt numFmtId="167" formatCode="#"/>
    <numFmt numFmtId="168" formatCode="_-* #,##0\ _F_t_-;\-* #,##0\ _F_t_-;_-* &quot;-&quot;??\ _F_t_-;_-@_-"/>
    <numFmt numFmtId="169" formatCode="00"/>
    <numFmt numFmtId="170" formatCode="#,###__;\-#,###__"/>
    <numFmt numFmtId="171" formatCode="#,###\ _F_t;\-#,###\ _F_t"/>
    <numFmt numFmtId="172" formatCode="#,###__"/>
    <numFmt numFmtId="173" formatCode="#,##0\ [$Ft-40E]"/>
    <numFmt numFmtId="174" formatCode="0.000"/>
    <numFmt numFmtId="175" formatCode="#,###.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12"/>
      <color indexed="10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11"/>
      <name val="Times New Roman CE"/>
      <charset val="238"/>
    </font>
    <font>
      <sz val="9"/>
      <color indexed="17"/>
      <name val="Times New Roman CE"/>
      <charset val="238"/>
    </font>
    <font>
      <sz val="10"/>
      <color indexed="17"/>
      <name val="Times New Roman CE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11"/>
      <name val="Times New Roman CE"/>
      <charset val="238"/>
    </font>
    <font>
      <i/>
      <sz val="11"/>
      <name val="Times New Roman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charset val="238"/>
    </font>
    <font>
      <b/>
      <sz val="6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Times New Roman CE"/>
      <family val="1"/>
      <charset val="238"/>
    </font>
    <font>
      <b/>
      <sz val="7"/>
      <name val="Times New Roman"/>
      <family val="1"/>
    </font>
    <font>
      <i/>
      <sz val="8"/>
      <name val="Times New Roman"/>
      <family val="1"/>
      <charset val="238"/>
    </font>
    <font>
      <b/>
      <i/>
      <sz val="7"/>
      <name val="Times New Roman"/>
      <family val="1"/>
    </font>
    <font>
      <sz val="7"/>
      <name val="Times New Roman"/>
      <family val="1"/>
    </font>
    <font>
      <b/>
      <sz val="12"/>
      <color indexed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8"/>
      <name val="Times New Roman CE"/>
      <family val="1"/>
      <charset val="238"/>
    </font>
    <font>
      <sz val="10"/>
      <name val="Wingdings"/>
      <charset val="2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</font>
    <font>
      <i/>
      <sz val="10"/>
      <name val="Times New Roman CE"/>
      <charset val="238"/>
    </font>
    <font>
      <b/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MS Sans Serif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Times New Roman CE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color rgb="FFFF0000"/>
      <name val="Times New Roman CE"/>
      <charset val="238"/>
    </font>
    <font>
      <sz val="12"/>
      <color rgb="FFFF0000"/>
      <name val="Times New Roman CE"/>
      <charset val="238"/>
    </font>
    <font>
      <sz val="10"/>
      <color theme="0"/>
      <name val="Times New Roman CE"/>
      <charset val="238"/>
    </font>
    <font>
      <b/>
      <sz val="14"/>
      <color rgb="FF000000"/>
      <name val="Times New Roman"/>
      <family val="1"/>
      <charset val="238"/>
    </font>
    <font>
      <b/>
      <sz val="14"/>
      <color rgb="FFFF0000"/>
      <name val="Times New Roman CE"/>
      <charset val="238"/>
    </font>
    <font>
      <b/>
      <sz val="14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u/>
      <sz val="8"/>
      <name val="Times New Roman CE"/>
      <charset val="238"/>
    </font>
    <font>
      <b/>
      <u/>
      <sz val="9"/>
      <name val="Times New Roman CE"/>
      <charset val="238"/>
    </font>
    <font>
      <b/>
      <u/>
      <sz val="8"/>
      <name val="Times New Roman CE"/>
      <family val="1"/>
      <charset val="238"/>
    </font>
    <font>
      <sz val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9"/>
      <color theme="1"/>
      <name val="Times New Roman CE"/>
      <family val="1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</fonts>
  <fills count="2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50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lightHorizontal"/>
    </fill>
    <fill>
      <patternFill patternType="gray125">
        <bgColor indexed="47"/>
      </patternFill>
    </fill>
    <fill>
      <patternFill patternType="solid">
        <fgColor rgb="FFD8D8D8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rgb="FF006600"/>
      </left>
      <right style="thick">
        <color rgb="FF006600"/>
      </right>
      <top style="thick">
        <color rgb="FF006600"/>
      </top>
      <bottom style="thick">
        <color rgb="FF0066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indexed="64"/>
      </top>
      <bottom style="medium">
        <color indexed="64"/>
      </bottom>
      <diagonal/>
    </border>
  </borders>
  <cellStyleXfs count="791">
    <xf numFmtId="0" fontId="0" fillId="0" borderId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3" borderId="0" applyNumberFormat="0" applyBorder="0" applyAlignment="0" applyProtection="0"/>
    <xf numFmtId="0" fontId="79" fillId="3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4" borderId="0" applyNumberFormat="0" applyBorder="0" applyAlignment="0" applyProtection="0"/>
    <xf numFmtId="0" fontId="78" fillId="7" borderId="0" applyNumberFormat="0" applyBorder="0" applyAlignment="0" applyProtection="0"/>
    <xf numFmtId="0" fontId="78" fillId="6" borderId="0" applyNumberFormat="0" applyBorder="0" applyAlignment="0" applyProtection="0"/>
    <xf numFmtId="0" fontId="79" fillId="8" borderId="0" applyNumberFormat="0" applyBorder="0" applyAlignment="0" applyProtection="0"/>
    <xf numFmtId="0" fontId="79" fillId="8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2" borderId="0" applyNumberFormat="0" applyBorder="0" applyAlignment="0" applyProtection="0"/>
    <xf numFmtId="0" fontId="78" fillId="12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0" borderId="0" applyNumberFormat="0" applyBorder="0" applyAlignment="0" applyProtection="0"/>
    <xf numFmtId="0" fontId="78" fillId="5" borderId="0" applyNumberFormat="0" applyBorder="0" applyAlignment="0" applyProtection="0"/>
    <xf numFmtId="0" fontId="78" fillId="11" borderId="0" applyNumberFormat="0" applyBorder="0" applyAlignment="0" applyProtection="0"/>
    <xf numFmtId="0" fontId="78" fillId="10" borderId="0" applyNumberFormat="0" applyBorder="0" applyAlignment="0" applyProtection="0"/>
    <xf numFmtId="0" fontId="78" fillId="12" borderId="0" applyNumberFormat="0" applyBorder="0" applyAlignment="0" applyProtection="0"/>
    <xf numFmtId="0" fontId="78" fillId="11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5" borderId="0" applyNumberFormat="0" applyBorder="0" applyAlignment="0" applyProtection="0"/>
    <xf numFmtId="0" fontId="79" fillId="5" borderId="0" applyNumberFormat="0" applyBorder="0" applyAlignment="0" applyProtection="0"/>
    <xf numFmtId="0" fontId="79" fillId="11" borderId="0" applyNumberFormat="0" applyBorder="0" applyAlignment="0" applyProtection="0"/>
    <xf numFmtId="0" fontId="79" fillId="11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5" borderId="0" applyNumberFormat="0" applyBorder="0" applyAlignment="0" applyProtection="0"/>
    <xf numFmtId="0" fontId="79" fillId="5" borderId="0" applyNumberFormat="0" applyBorder="0" applyAlignment="0" applyProtection="0"/>
    <xf numFmtId="0" fontId="79" fillId="2" borderId="0" applyNumberFormat="0" applyBorder="0" applyAlignment="0" applyProtection="0"/>
    <xf numFmtId="0" fontId="79" fillId="5" borderId="0" applyNumberFormat="0" applyBorder="0" applyAlignment="0" applyProtection="0"/>
    <xf numFmtId="0" fontId="79" fillId="11" borderId="0" applyNumberFormat="0" applyBorder="0" applyAlignment="0" applyProtection="0"/>
    <xf numFmtId="0" fontId="79" fillId="10" borderId="0" applyNumberFormat="0" applyBorder="0" applyAlignment="0" applyProtection="0"/>
    <xf numFmtId="0" fontId="79" fillId="2" borderId="0" applyNumberFormat="0" applyBorder="0" applyAlignment="0" applyProtection="0"/>
    <xf numFmtId="0" fontId="79" fillId="5" borderId="0" applyNumberFormat="0" applyBorder="0" applyAlignment="0" applyProtection="0"/>
    <xf numFmtId="0" fontId="79" fillId="2" borderId="0" applyNumberFormat="0" applyBorder="0" applyAlignment="0" applyProtection="0"/>
    <xf numFmtId="0" fontId="79" fillId="3" borderId="0" applyNumberFormat="0" applyBorder="0" applyAlignment="0" applyProtection="0"/>
    <xf numFmtId="0" fontId="79" fillId="14" borderId="0" applyNumberFormat="0" applyBorder="0" applyAlignment="0" applyProtection="0"/>
    <xf numFmtId="0" fontId="79" fillId="15" borderId="0" applyNumberFormat="0" applyBorder="0" applyAlignment="0" applyProtection="0"/>
    <xf numFmtId="0" fontId="79" fillId="16" borderId="0" applyNumberFormat="0" applyBorder="0" applyAlignment="0" applyProtection="0"/>
    <xf numFmtId="0" fontId="79" fillId="17" borderId="0" applyNumberFormat="0" applyBorder="0" applyAlignment="0" applyProtection="0"/>
    <xf numFmtId="0" fontId="92" fillId="18" borderId="0" applyNumberFormat="0" applyBorder="0" applyAlignment="0" applyProtection="0"/>
    <xf numFmtId="0" fontId="80" fillId="11" borderId="1" applyNumberFormat="0" applyAlignment="0" applyProtection="0"/>
    <xf numFmtId="0" fontId="80" fillId="11" borderId="1" applyNumberFormat="0" applyAlignment="0" applyProtection="0"/>
    <xf numFmtId="0" fontId="94" fillId="19" borderId="1" applyNumberFormat="0" applyAlignment="0" applyProtection="0"/>
    <xf numFmtId="0" fontId="85" fillId="14" borderId="2" applyNumberFormat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3" applyNumberFormat="0" applyFill="0" applyAlignment="0" applyProtection="0"/>
    <xf numFmtId="0" fontId="82" fillId="0" borderId="3" applyNumberFormat="0" applyFill="0" applyAlignment="0" applyProtection="0"/>
    <xf numFmtId="0" fontId="83" fillId="0" borderId="4" applyNumberFormat="0" applyFill="0" applyAlignment="0" applyProtection="0"/>
    <xf numFmtId="0" fontId="83" fillId="0" borderId="4" applyNumberFormat="0" applyFill="0" applyAlignment="0" applyProtection="0"/>
    <xf numFmtId="0" fontId="84" fillId="0" borderId="5" applyNumberFormat="0" applyFill="0" applyAlignment="0" applyProtection="0"/>
    <xf numFmtId="0" fontId="84" fillId="0" borderId="5" applyNumberFormat="0" applyFill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14" borderId="2" applyNumberFormat="0" applyAlignment="0" applyProtection="0"/>
    <xf numFmtId="0" fontId="85" fillId="14" borderId="2" applyNumberFormat="0" applyAlignment="0" applyProtection="0"/>
    <xf numFmtId="0" fontId="90" fillId="0" borderId="0" applyNumberForma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96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8" fillId="20" borderId="0" applyNumberFormat="0" applyBorder="0" applyAlignment="0" applyProtection="0"/>
    <xf numFmtId="0" fontId="82" fillId="0" borderId="3" applyNumberFormat="0" applyFill="0" applyAlignment="0" applyProtection="0"/>
    <xf numFmtId="0" fontId="83" fillId="0" borderId="4" applyNumberFormat="0" applyFill="0" applyAlignment="0" applyProtection="0"/>
    <xf numFmtId="0" fontId="84" fillId="0" borderId="5" applyNumberFormat="0" applyFill="0" applyAlignment="0" applyProtection="0"/>
    <xf numFmtId="0" fontId="84" fillId="0" borderId="0" applyNumberFormat="0" applyFill="0" applyBorder="0" applyAlignment="0" applyProtection="0"/>
    <xf numFmtId="0" fontId="9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87" fillId="0" borderId="6" applyNumberFormat="0" applyFill="0" applyAlignment="0" applyProtection="0"/>
    <xf numFmtId="0" fontId="87" fillId="0" borderId="6" applyNumberFormat="0" applyFill="0" applyAlignment="0" applyProtection="0"/>
    <xf numFmtId="0" fontId="80" fillId="11" borderId="1" applyNumberFormat="0" applyAlignment="0" applyProtection="0"/>
    <xf numFmtId="0" fontId="25" fillId="6" borderId="7" applyNumberFormat="0" applyFont="0" applyAlignment="0" applyProtection="0"/>
    <xf numFmtId="0" fontId="25" fillId="6" borderId="7" applyNumberFormat="0" applyFont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3" borderId="0" applyNumberFormat="0" applyBorder="0" applyAlignment="0" applyProtection="0"/>
    <xf numFmtId="0" fontId="79" fillId="3" borderId="0" applyNumberFormat="0" applyBorder="0" applyAlignment="0" applyProtection="0"/>
    <xf numFmtId="0" fontId="79" fillId="8" borderId="0" applyNumberFormat="0" applyBorder="0" applyAlignment="0" applyProtection="0"/>
    <xf numFmtId="0" fontId="79" fillId="8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2" borderId="0" applyNumberFormat="0" applyBorder="0" applyAlignment="0" applyProtection="0"/>
    <xf numFmtId="0" fontId="79" fillId="2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88" fillId="20" borderId="0" applyNumberFormat="0" applyBorder="0" applyAlignment="0" applyProtection="0"/>
    <xf numFmtId="0" fontId="88" fillId="20" borderId="0" applyNumberFormat="0" applyBorder="0" applyAlignment="0" applyProtection="0"/>
    <xf numFmtId="0" fontId="89" fillId="19" borderId="8" applyNumberFormat="0" applyAlignment="0" applyProtection="0"/>
    <xf numFmtId="0" fontId="89" fillId="19" borderId="8" applyNumberFormat="0" applyAlignment="0" applyProtection="0"/>
    <xf numFmtId="0" fontId="87" fillId="0" borderId="6" applyNumberFormat="0" applyFill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93" fillId="11" borderId="0" applyNumberFormat="0" applyBorder="0" applyAlignment="0" applyProtection="0"/>
    <xf numFmtId="0" fontId="97" fillId="0" borderId="0"/>
    <xf numFmtId="0" fontId="25" fillId="0" borderId="0"/>
    <xf numFmtId="0" fontId="96" fillId="0" borderId="0"/>
    <xf numFmtId="0" fontId="78" fillId="0" borderId="0"/>
    <xf numFmtId="0" fontId="25" fillId="0" borderId="0"/>
    <xf numFmtId="0" fontId="96" fillId="0" borderId="0"/>
    <xf numFmtId="0" fontId="96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96" fillId="0" borderId="0"/>
    <xf numFmtId="0" fontId="100" fillId="0" borderId="0"/>
    <xf numFmtId="0" fontId="100" fillId="0" borderId="0"/>
    <xf numFmtId="0" fontId="95" fillId="0" borderId="0"/>
    <xf numFmtId="0" fontId="98" fillId="0" borderId="0"/>
    <xf numFmtId="0" fontId="21" fillId="0" borderId="0"/>
    <xf numFmtId="0" fontId="25" fillId="0" borderId="0"/>
    <xf numFmtId="0" fontId="48" fillId="0" borderId="0"/>
    <xf numFmtId="0" fontId="25" fillId="0" borderId="0"/>
    <xf numFmtId="0" fontId="25" fillId="6" borderId="7" applyNumberFormat="0" applyFont="0" applyAlignment="0" applyProtection="0"/>
    <xf numFmtId="0" fontId="89" fillId="19" borderId="8" applyNumberFormat="0" applyAlignment="0" applyProtection="0"/>
    <xf numFmtId="0" fontId="91" fillId="0" borderId="9" applyNumberFormat="0" applyFill="0" applyAlignment="0" applyProtection="0"/>
    <xf numFmtId="0" fontId="91" fillId="0" borderId="9" applyNumberFormat="0" applyFill="0" applyAlignment="0" applyProtection="0"/>
    <xf numFmtId="0" fontId="92" fillId="18" borderId="0" applyNumberFormat="0" applyBorder="0" applyAlignment="0" applyProtection="0"/>
    <xf numFmtId="0" fontId="92" fillId="18" borderId="0" applyNumberFormat="0" applyBorder="0" applyAlignment="0" applyProtection="0"/>
    <xf numFmtId="0" fontId="93" fillId="11" borderId="0" applyNumberFormat="0" applyBorder="0" applyAlignment="0" applyProtection="0"/>
    <xf numFmtId="0" fontId="93" fillId="11" borderId="0" applyNumberFormat="0" applyBorder="0" applyAlignment="0" applyProtection="0"/>
    <xf numFmtId="0" fontId="94" fillId="19" borderId="1" applyNumberFormat="0" applyAlignment="0" applyProtection="0"/>
    <xf numFmtId="0" fontId="94" fillId="19" borderId="1" applyNumberFormat="0" applyAlignment="0" applyProtection="0"/>
    <xf numFmtId="9" fontId="25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0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91" fillId="0" borderId="9" applyNumberFormat="0" applyFill="0" applyAlignment="0" applyProtection="0"/>
    <xf numFmtId="0" fontId="86" fillId="0" borderId="0" applyNumberFormat="0" applyFill="0" applyBorder="0" applyAlignment="0" applyProtection="0"/>
    <xf numFmtId="0" fontId="111" fillId="0" borderId="0"/>
    <xf numFmtId="0" fontId="98" fillId="0" borderId="0"/>
    <xf numFmtId="0" fontId="95" fillId="0" borderId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6" borderId="7" applyNumberFormat="0" applyFont="0" applyAlignment="0" applyProtection="0"/>
    <xf numFmtId="0" fontId="12" fillId="0" borderId="0"/>
    <xf numFmtId="0" fontId="12" fillId="0" borderId="0"/>
    <xf numFmtId="0" fontId="12" fillId="6" borderId="7" applyNumberFormat="0" applyFont="0" applyAlignment="0" applyProtection="0"/>
    <xf numFmtId="0" fontId="12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0" fontId="12" fillId="6" borderId="7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95" fillId="0" borderId="0" applyFont="0" applyFill="0" applyBorder="0" applyAlignment="0" applyProtection="0"/>
    <xf numFmtId="0" fontId="12" fillId="6" borderId="7" applyNumberFormat="0" applyFont="0" applyAlignment="0" applyProtection="0"/>
    <xf numFmtId="0" fontId="95" fillId="0" borderId="0"/>
    <xf numFmtId="0" fontId="95" fillId="0" borderId="0"/>
    <xf numFmtId="0" fontId="9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5" fillId="0" borderId="0"/>
    <xf numFmtId="0" fontId="6" fillId="0" borderId="0"/>
    <xf numFmtId="0" fontId="6" fillId="0" borderId="0"/>
    <xf numFmtId="0" fontId="12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18" fillId="0" borderId="0"/>
    <xf numFmtId="0" fontId="97" fillId="0" borderId="0"/>
    <xf numFmtId="0" fontId="12" fillId="0" borderId="0"/>
    <xf numFmtId="165" fontId="12" fillId="0" borderId="0" applyFont="0" applyFill="0" applyBorder="0" applyAlignment="0" applyProtection="0"/>
    <xf numFmtId="9" fontId="95" fillId="0" borderId="0" applyFont="0" applyFill="0" applyBorder="0" applyAlignment="0" applyProtection="0"/>
    <xf numFmtId="0" fontId="97" fillId="0" borderId="0"/>
    <xf numFmtId="165" fontId="97" fillId="0" borderId="0" applyFont="0" applyFill="0" applyBorder="0" applyAlignment="0" applyProtection="0"/>
    <xf numFmtId="0" fontId="95" fillId="0" borderId="0"/>
    <xf numFmtId="165" fontId="95" fillId="0" borderId="0" applyFont="0" applyFill="0" applyBorder="0" applyAlignment="0" applyProtection="0"/>
    <xf numFmtId="9" fontId="9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9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9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95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503">
    <xf numFmtId="0" fontId="0" fillId="0" borderId="0" xfId="0"/>
    <xf numFmtId="166" fontId="14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7" fillId="0" borderId="0" xfId="161" applyFont="1" applyFill="1" applyBorder="1" applyAlignment="1" applyProtection="1">
      <alignment horizontal="center" vertical="center" wrapText="1"/>
    </xf>
    <xf numFmtId="0" fontId="17" fillId="0" borderId="0" xfId="161" applyFont="1" applyFill="1" applyBorder="1" applyAlignment="1" applyProtection="1">
      <alignment vertical="center" wrapText="1"/>
    </xf>
    <xf numFmtId="0" fontId="28" fillId="0" borderId="10" xfId="161" applyFont="1" applyFill="1" applyBorder="1" applyAlignment="1" applyProtection="1">
      <alignment horizontal="left" vertical="center" wrapText="1" indent="1"/>
    </xf>
    <xf numFmtId="0" fontId="28" fillId="0" borderId="11" xfId="161" applyFont="1" applyFill="1" applyBorder="1" applyAlignment="1" applyProtection="1">
      <alignment horizontal="left" vertical="center" wrapText="1" indent="1"/>
    </xf>
    <xf numFmtId="0" fontId="28" fillId="0" borderId="12" xfId="161" applyFont="1" applyFill="1" applyBorder="1" applyAlignment="1" applyProtection="1">
      <alignment horizontal="left" vertical="center" wrapText="1" indent="1"/>
    </xf>
    <xf numFmtId="0" fontId="28" fillId="0" borderId="13" xfId="161" applyFont="1" applyFill="1" applyBorder="1" applyAlignment="1" applyProtection="1">
      <alignment horizontal="left" vertical="center" wrapText="1" indent="1"/>
    </xf>
    <xf numFmtId="0" fontId="28" fillId="0" borderId="14" xfId="161" applyFont="1" applyFill="1" applyBorder="1" applyAlignment="1" applyProtection="1">
      <alignment horizontal="left" vertical="center" wrapText="1" indent="1"/>
    </xf>
    <xf numFmtId="0" fontId="28" fillId="0" borderId="15" xfId="161" applyFont="1" applyFill="1" applyBorder="1" applyAlignment="1" applyProtection="1">
      <alignment horizontal="left" vertical="center" wrapText="1" indent="1"/>
    </xf>
    <xf numFmtId="0" fontId="28" fillId="0" borderId="0" xfId="161" applyFont="1" applyFill="1" applyBorder="1" applyAlignment="1" applyProtection="1">
      <alignment horizontal="left" vertical="center" wrapText="1" indent="1"/>
    </xf>
    <xf numFmtId="0" fontId="27" fillId="0" borderId="22" xfId="161" applyFont="1" applyFill="1" applyBorder="1" applyAlignment="1" applyProtection="1">
      <alignment horizontal="left" vertical="center" wrapText="1" indent="1"/>
    </xf>
    <xf numFmtId="0" fontId="27" fillId="0" borderId="23" xfId="161" applyFont="1" applyFill="1" applyBorder="1" applyAlignment="1" applyProtection="1">
      <alignment horizontal="left" vertical="center" wrapText="1" indent="1"/>
    </xf>
    <xf numFmtId="166" fontId="28" fillId="0" borderId="11" xfId="0" applyNumberFormat="1" applyFont="1" applyFill="1" applyBorder="1" applyAlignment="1" applyProtection="1">
      <alignment vertical="center" wrapText="1"/>
      <protection locked="0"/>
    </xf>
    <xf numFmtId="0" fontId="27" fillId="0" borderId="23" xfId="161" applyFont="1" applyFill="1" applyBorder="1" applyAlignment="1" applyProtection="1">
      <alignment vertical="center" wrapText="1"/>
    </xf>
    <xf numFmtId="0" fontId="27" fillId="0" borderId="25" xfId="161" applyFont="1" applyFill="1" applyBorder="1" applyAlignment="1" applyProtection="1">
      <alignment vertical="center" wrapText="1"/>
    </xf>
    <xf numFmtId="0" fontId="27" fillId="0" borderId="22" xfId="161" applyFont="1" applyFill="1" applyBorder="1" applyAlignment="1" applyProtection="1">
      <alignment horizontal="center" vertical="center" wrapText="1"/>
    </xf>
    <xf numFmtId="0" fontId="27" fillId="0" borderId="23" xfId="161" applyFont="1" applyFill="1" applyBorder="1" applyAlignment="1" applyProtection="1">
      <alignment horizontal="center" vertical="center" wrapText="1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166" fontId="28" fillId="0" borderId="17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166" fontId="0" fillId="0" borderId="0" xfId="0" applyNumberFormat="1" applyFill="1" applyAlignment="1" applyProtection="1">
      <alignment vertical="center" wrapText="1"/>
    </xf>
    <xf numFmtId="166" fontId="28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166" fontId="27" fillId="0" borderId="23" xfId="0" applyNumberFormat="1" applyFont="1" applyFill="1" applyBorder="1" applyAlignment="1" applyProtection="1">
      <alignment vertical="center" wrapText="1"/>
    </xf>
    <xf numFmtId="166" fontId="27" fillId="0" borderId="28" xfId="0" applyNumberFormat="1" applyFont="1" applyFill="1" applyBorder="1" applyAlignment="1" applyProtection="1">
      <alignment vertical="center" wrapText="1"/>
    </xf>
    <xf numFmtId="166" fontId="15" fillId="0" borderId="0" xfId="0" applyNumberFormat="1" applyFont="1" applyFill="1" applyAlignment="1">
      <alignment vertical="center" wrapText="1"/>
    </xf>
    <xf numFmtId="166" fontId="26" fillId="0" borderId="11" xfId="0" applyNumberFormat="1" applyFont="1" applyFill="1" applyBorder="1" applyAlignment="1" applyProtection="1">
      <alignment vertical="center" wrapText="1"/>
      <protection locked="0"/>
    </xf>
    <xf numFmtId="166" fontId="26" fillId="0" borderId="26" xfId="0" applyNumberFormat="1" applyFont="1" applyFill="1" applyBorder="1" applyAlignment="1" applyProtection="1">
      <alignment vertical="center" wrapText="1"/>
    </xf>
    <xf numFmtId="0" fontId="17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20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166" fontId="27" fillId="21" borderId="23" xfId="0" applyNumberFormat="1" applyFont="1" applyFill="1" applyBorder="1" applyAlignment="1" applyProtection="1">
      <alignment vertical="center" wrapText="1"/>
    </xf>
    <xf numFmtId="166" fontId="28" fillId="0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34" fillId="0" borderId="23" xfId="161" applyFont="1" applyFill="1" applyBorder="1" applyAlignment="1" applyProtection="1">
      <alignment horizontal="left" vertical="center" wrapText="1" indent="1"/>
    </xf>
    <xf numFmtId="166" fontId="34" fillId="0" borderId="22" xfId="0" applyNumberFormat="1" applyFont="1" applyFill="1" applyBorder="1" applyAlignment="1" applyProtection="1">
      <alignment horizontal="left" vertical="center" wrapText="1" indent="1"/>
    </xf>
    <xf numFmtId="0" fontId="16" fillId="0" borderId="31" xfId="0" applyFont="1" applyFill="1" applyBorder="1" applyAlignment="1" applyProtection="1">
      <alignment horizontal="right"/>
    </xf>
    <xf numFmtId="0" fontId="35" fillId="0" borderId="32" xfId="161" applyFont="1" applyFill="1" applyBorder="1" applyAlignment="1" applyProtection="1">
      <alignment horizontal="left" vertical="center" wrapText="1" indent="1"/>
    </xf>
    <xf numFmtId="0" fontId="28" fillId="0" borderId="11" xfId="161" applyFont="1" applyFill="1" applyBorder="1" applyAlignment="1" applyProtection="1">
      <alignment horizontal="left" indent="6"/>
    </xf>
    <xf numFmtId="0" fontId="28" fillId="0" borderId="11" xfId="161" applyFont="1" applyFill="1" applyBorder="1" applyAlignment="1" applyProtection="1">
      <alignment horizontal="left" vertical="center" wrapText="1" indent="6"/>
    </xf>
    <xf numFmtId="0" fontId="28" fillId="0" borderId="15" xfId="161" applyFont="1" applyFill="1" applyBorder="1" applyAlignment="1" applyProtection="1">
      <alignment horizontal="left" vertical="center" wrapText="1" indent="6"/>
    </xf>
    <xf numFmtId="0" fontId="28" fillId="0" borderId="29" xfId="161" applyFont="1" applyFill="1" applyBorder="1" applyAlignment="1" applyProtection="1">
      <alignment horizontal="left" vertical="center" wrapText="1" indent="6"/>
    </xf>
    <xf numFmtId="0" fontId="46" fillId="0" borderId="0" xfId="0" applyFont="1"/>
    <xf numFmtId="0" fontId="0" fillId="0" borderId="0" xfId="0" applyFill="1" applyProtection="1">
      <protection locked="0"/>
    </xf>
    <xf numFmtId="166" fontId="35" fillId="0" borderId="11" xfId="0" applyNumberFormat="1" applyFont="1" applyFill="1" applyBorder="1" applyAlignment="1" applyProtection="1">
      <alignment vertical="center"/>
      <protection locked="0"/>
    </xf>
    <xf numFmtId="166" fontId="35" fillId="0" borderId="15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/>
    <xf numFmtId="166" fontId="0" fillId="0" borderId="0" xfId="0" applyNumberFormat="1" applyFill="1" applyAlignment="1" applyProtection="1">
      <alignment horizontal="center" vertical="center" wrapText="1"/>
    </xf>
    <xf numFmtId="166" fontId="18" fillId="0" borderId="22" xfId="0" applyNumberFormat="1" applyFont="1" applyFill="1" applyBorder="1" applyAlignment="1" applyProtection="1">
      <alignment horizontal="left" vertical="center" wrapText="1"/>
    </xf>
    <xf numFmtId="0" fontId="27" fillId="0" borderId="22" xfId="0" applyFont="1" applyFill="1" applyBorder="1" applyAlignment="1" applyProtection="1">
      <alignment horizontal="center" vertical="center" wrapText="1"/>
    </xf>
    <xf numFmtId="0" fontId="27" fillId="0" borderId="23" xfId="0" applyFont="1" applyFill="1" applyBorder="1" applyAlignment="1" applyProtection="1">
      <alignment horizontal="center" vertical="center" wrapText="1"/>
    </xf>
    <xf numFmtId="0" fontId="27" fillId="0" borderId="28" xfId="0" applyFont="1" applyFill="1" applyBorder="1" applyAlignment="1" applyProtection="1">
      <alignment horizontal="center" vertical="center" wrapText="1"/>
    </xf>
    <xf numFmtId="0" fontId="35" fillId="0" borderId="11" xfId="0" applyFont="1" applyFill="1" applyBorder="1" applyAlignment="1" applyProtection="1">
      <alignment vertical="center" wrapText="1"/>
    </xf>
    <xf numFmtId="0" fontId="34" fillId="0" borderId="2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Fill="1" applyProtection="1"/>
    <xf numFmtId="0" fontId="29" fillId="0" borderId="0" xfId="0" applyFont="1" applyFill="1" applyProtection="1"/>
    <xf numFmtId="166" fontId="14" fillId="0" borderId="0" xfId="0" applyNumberFormat="1" applyFont="1" applyFill="1" applyAlignment="1" applyProtection="1">
      <alignment vertical="center" wrapText="1"/>
    </xf>
    <xf numFmtId="0" fontId="34" fillId="0" borderId="23" xfId="0" applyFont="1" applyFill="1" applyBorder="1" applyAlignment="1" applyProtection="1">
      <alignment horizontal="left" vertical="center" wrapText="1" indent="1"/>
    </xf>
    <xf numFmtId="0" fontId="33" fillId="0" borderId="22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18" fillId="0" borderId="23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16" fontId="0" fillId="0" borderId="0" xfId="0" applyNumberFormat="1" applyFill="1" applyAlignment="1">
      <alignment vertical="center" wrapText="1"/>
    </xf>
    <xf numFmtId="0" fontId="35" fillId="0" borderId="17" xfId="0" applyFont="1" applyFill="1" applyBorder="1" applyAlignment="1" applyProtection="1">
      <alignment horizontal="center" vertical="center"/>
    </xf>
    <xf numFmtId="166" fontId="34" fillId="0" borderId="26" xfId="0" applyNumberFormat="1" applyFont="1" applyFill="1" applyBorder="1" applyAlignment="1" applyProtection="1">
      <alignment vertical="center"/>
    </xf>
    <xf numFmtId="0" fontId="35" fillId="0" borderId="19" xfId="0" applyFont="1" applyFill="1" applyBorder="1" applyAlignment="1" applyProtection="1">
      <alignment horizontal="center" vertical="center"/>
    </xf>
    <xf numFmtId="0" fontId="35" fillId="0" borderId="15" xfId="0" applyFont="1" applyFill="1" applyBorder="1" applyAlignment="1" applyProtection="1">
      <alignment vertical="center" wrapText="1"/>
    </xf>
    <xf numFmtId="166" fontId="34" fillId="0" borderId="23" xfId="0" applyNumberFormat="1" applyFont="1" applyFill="1" applyBorder="1" applyAlignment="1" applyProtection="1">
      <alignment vertical="center"/>
    </xf>
    <xf numFmtId="166" fontId="34" fillId="0" borderId="28" xfId="0" applyNumberFormat="1" applyFont="1" applyFill="1" applyBorder="1" applyAlignment="1" applyProtection="1">
      <alignment vertical="center"/>
    </xf>
    <xf numFmtId="166" fontId="27" fillId="0" borderId="34" xfId="161" applyNumberFormat="1" applyFont="1" applyFill="1" applyBorder="1" applyAlignment="1" applyProtection="1">
      <alignment horizontal="right" vertical="center" wrapText="1" indent="1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3" xfId="0" applyFont="1" applyBorder="1" applyAlignment="1" applyProtection="1">
      <alignment horizontal="left" vertical="center" wrapText="1" indent="1"/>
    </xf>
    <xf numFmtId="0" fontId="32" fillId="0" borderId="11" xfId="0" applyFont="1" applyBorder="1" applyAlignment="1" applyProtection="1">
      <alignment horizontal="left" vertical="center" wrapText="1" indent="1"/>
    </xf>
    <xf numFmtId="0" fontId="32" fillId="0" borderId="15" xfId="0" applyFont="1" applyBorder="1" applyAlignment="1" applyProtection="1">
      <alignment horizontal="left" vertical="center" wrapText="1" indent="1"/>
    </xf>
    <xf numFmtId="166" fontId="17" fillId="0" borderId="0" xfId="161" applyNumberFormat="1" applyFont="1" applyFill="1" applyBorder="1" applyAlignment="1" applyProtection="1">
      <alignment horizontal="right" vertical="center" wrapText="1" indent="1"/>
    </xf>
    <xf numFmtId="0" fontId="16" fillId="0" borderId="31" xfId="0" applyFont="1" applyFill="1" applyBorder="1" applyAlignment="1" applyProtection="1">
      <alignment horizontal="right" vertical="center"/>
    </xf>
    <xf numFmtId="166" fontId="28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0" xfId="0" applyNumberFormat="1" applyFont="1" applyFill="1" applyAlignment="1" applyProtection="1">
      <alignment horizontal="center" vertical="center" wrapText="1"/>
    </xf>
    <xf numFmtId="166" fontId="34" fillId="0" borderId="0" xfId="0" applyNumberFormat="1" applyFont="1" applyFill="1" applyAlignment="1" applyProtection="1">
      <alignment horizontal="center" vertical="center" wrapText="1"/>
    </xf>
    <xf numFmtId="166" fontId="0" fillId="0" borderId="40" xfId="0" applyNumberFormat="1" applyFill="1" applyBorder="1" applyAlignment="1" applyProtection="1">
      <alignment horizontal="left" vertical="center" wrapText="1" indent="1"/>
    </xf>
    <xf numFmtId="166" fontId="28" fillId="0" borderId="18" xfId="0" applyNumberFormat="1" applyFont="1" applyFill="1" applyBorder="1" applyAlignment="1" applyProtection="1">
      <alignment horizontal="left" vertical="center" wrapText="1" inden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8" fillId="0" borderId="17" xfId="0" applyNumberFormat="1" applyFont="1" applyFill="1" applyBorder="1" applyAlignment="1" applyProtection="1">
      <alignment horizontal="left" vertical="center" wrapText="1" indent="1"/>
    </xf>
    <xf numFmtId="166" fontId="28" fillId="0" borderId="42" xfId="0" applyNumberFormat="1" applyFont="1" applyFill="1" applyBorder="1" applyAlignment="1" applyProtection="1">
      <alignment horizontal="left" vertical="center" wrapText="1" indent="1"/>
    </xf>
    <xf numFmtId="166" fontId="37" fillId="0" borderId="43" xfId="0" applyNumberFormat="1" applyFont="1" applyFill="1" applyBorder="1" applyAlignment="1" applyProtection="1">
      <alignment horizontal="left" vertical="center" wrapText="1" indent="1"/>
    </xf>
    <xf numFmtId="166" fontId="35" fillId="0" borderId="16" xfId="0" applyNumberFormat="1" applyFont="1" applyFill="1" applyBorder="1" applyAlignment="1" applyProtection="1">
      <alignment horizontal="left" vertical="center" wrapText="1" indent="1"/>
    </xf>
    <xf numFmtId="166" fontId="35" fillId="0" borderId="17" xfId="0" applyNumberFormat="1" applyFont="1" applyFill="1" applyBorder="1" applyAlignment="1" applyProtection="1">
      <alignment horizontal="left" vertical="center" wrapText="1" indent="1"/>
    </xf>
    <xf numFmtId="166" fontId="38" fillId="0" borderId="11" xfId="0" applyNumberFormat="1" applyFont="1" applyFill="1" applyBorder="1" applyAlignment="1" applyProtection="1">
      <alignment horizontal="right" vertical="center" wrapText="1" indent="1"/>
    </xf>
    <xf numFmtId="166" fontId="37" fillId="0" borderId="22" xfId="0" applyNumberFormat="1" applyFont="1" applyFill="1" applyBorder="1" applyAlignment="1" applyProtection="1">
      <alignment horizontal="left" vertical="center" wrapText="1" indent="1"/>
    </xf>
    <xf numFmtId="166" fontId="35" fillId="0" borderId="18" xfId="0" applyNumberFormat="1" applyFont="1" applyFill="1" applyBorder="1" applyAlignment="1" applyProtection="1">
      <alignment horizontal="left" vertical="center" wrapText="1" indent="1"/>
      <protection locked="0"/>
    </xf>
    <xf numFmtId="166" fontId="38" fillId="0" borderId="16" xfId="0" applyNumberFormat="1" applyFont="1" applyFill="1" applyBorder="1" applyAlignment="1" applyProtection="1">
      <alignment horizontal="left" vertical="center" wrapText="1" indent="1"/>
    </xf>
    <xf numFmtId="166" fontId="35" fillId="0" borderId="17" xfId="0" applyNumberFormat="1" applyFont="1" applyFill="1" applyBorder="1" applyAlignment="1" applyProtection="1">
      <alignment horizontal="left" vertical="center" wrapText="1" indent="2"/>
    </xf>
    <xf numFmtId="166" fontId="35" fillId="0" borderId="11" xfId="0" applyNumberFormat="1" applyFont="1" applyFill="1" applyBorder="1" applyAlignment="1" applyProtection="1">
      <alignment horizontal="left" vertical="center" wrapText="1" indent="2"/>
    </xf>
    <xf numFmtId="166" fontId="38" fillId="0" borderId="11" xfId="0" applyNumberFormat="1" applyFont="1" applyFill="1" applyBorder="1" applyAlignment="1" applyProtection="1">
      <alignment horizontal="left" vertical="center" wrapText="1" indent="1"/>
    </xf>
    <xf numFmtId="166" fontId="35" fillId="0" borderId="18" xfId="0" applyNumberFormat="1" applyFont="1" applyFill="1" applyBorder="1" applyAlignment="1" applyProtection="1">
      <alignment horizontal="left" vertical="center" wrapText="1" indent="1"/>
    </xf>
    <xf numFmtId="166" fontId="28" fillId="0" borderId="18" xfId="0" applyNumberFormat="1" applyFont="1" applyFill="1" applyBorder="1" applyAlignment="1" applyProtection="1">
      <alignment horizontal="left" vertical="center" wrapText="1" indent="2"/>
    </xf>
    <xf numFmtId="166" fontId="28" fillId="0" borderId="19" xfId="0" applyNumberFormat="1" applyFont="1" applyFill="1" applyBorder="1" applyAlignment="1" applyProtection="1">
      <alignment horizontal="left" vertical="center" wrapText="1" indent="2"/>
    </xf>
    <xf numFmtId="166" fontId="38" fillId="0" borderId="12" xfId="0" applyNumberFormat="1" applyFont="1" applyFill="1" applyBorder="1" applyAlignment="1" applyProtection="1">
      <alignment horizontal="right" vertical="center" wrapText="1" indent="1"/>
    </xf>
    <xf numFmtId="166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166" fontId="27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6" fontId="27" fillId="0" borderId="3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vertical="center" wrapText="1"/>
    </xf>
    <xf numFmtId="0" fontId="31" fillId="0" borderId="32" xfId="0" applyFont="1" applyBorder="1" applyAlignment="1" applyProtection="1">
      <alignment horizontal="left" vertical="center" wrapText="1" indent="1"/>
    </xf>
    <xf numFmtId="0" fontId="21" fillId="0" borderId="0" xfId="161" applyFont="1" applyFill="1" applyProtection="1"/>
    <xf numFmtId="0" fontId="21" fillId="0" borderId="0" xfId="161" applyFont="1" applyFill="1" applyAlignment="1" applyProtection="1">
      <alignment horizontal="right" vertical="center" indent="1"/>
    </xf>
    <xf numFmtId="0" fontId="47" fillId="0" borderId="0" xfId="0" applyFont="1" applyFill="1" applyAlignment="1" applyProtection="1">
      <alignment horizontal="left" vertical="center" wrapText="1"/>
    </xf>
    <xf numFmtId="0" fontId="47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horizontal="right" vertical="center" wrapText="1" indent="1"/>
    </xf>
    <xf numFmtId="0" fontId="25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>
      <alignment vertical="center" wrapText="1"/>
    </xf>
    <xf numFmtId="0" fontId="25" fillId="0" borderId="0" xfId="0" applyFont="1" applyFill="1" applyAlignment="1" applyProtection="1">
      <alignment horizontal="right" vertical="center" wrapText="1" indent="1"/>
    </xf>
    <xf numFmtId="166" fontId="27" fillId="0" borderId="25" xfId="161" applyNumberFormat="1" applyFont="1" applyFill="1" applyBorder="1" applyAlignment="1" applyProtection="1">
      <alignment horizontal="right" vertical="center" wrapText="1" indent="1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161" applyNumberFormat="1" applyFont="1" applyFill="1" applyBorder="1" applyAlignment="1" applyProtection="1">
      <alignment horizontal="right" vertical="center" wrapText="1" indent="1"/>
    </xf>
    <xf numFmtId="0" fontId="27" fillId="0" borderId="24" xfId="161" applyFont="1" applyFill="1" applyBorder="1" applyAlignment="1" applyProtection="1">
      <alignment horizontal="center" vertical="center" wrapText="1"/>
    </xf>
    <xf numFmtId="0" fontId="28" fillId="0" borderId="12" xfId="161" applyFont="1" applyFill="1" applyBorder="1" applyAlignment="1" applyProtection="1">
      <alignment horizontal="left" vertical="center" wrapText="1" indent="6"/>
    </xf>
    <xf numFmtId="0" fontId="21" fillId="0" borderId="0" xfId="161" applyFill="1" applyProtection="1"/>
    <xf numFmtId="0" fontId="28" fillId="0" borderId="0" xfId="161" applyFont="1" applyFill="1" applyProtection="1"/>
    <xf numFmtId="0" fontId="24" fillId="0" borderId="0" xfId="161" applyFont="1" applyFill="1" applyProtection="1"/>
    <xf numFmtId="0" fontId="32" fillId="0" borderId="12" xfId="0" applyFont="1" applyBorder="1" applyAlignment="1" applyProtection="1">
      <alignment horizontal="left" wrapText="1" indent="1"/>
    </xf>
    <xf numFmtId="0" fontId="32" fillId="0" borderId="11" xfId="0" applyFont="1" applyBorder="1" applyAlignment="1" applyProtection="1">
      <alignment horizontal="left" wrapText="1" indent="1"/>
    </xf>
    <xf numFmtId="0" fontId="32" fillId="0" borderId="15" xfId="0" applyFont="1" applyBorder="1" applyAlignment="1" applyProtection="1">
      <alignment horizontal="left" wrapText="1" indent="1"/>
    </xf>
    <xf numFmtId="0" fontId="33" fillId="0" borderId="23" xfId="0" applyFont="1" applyBorder="1" applyAlignment="1" applyProtection="1">
      <alignment wrapText="1"/>
    </xf>
    <xf numFmtId="0" fontId="33" fillId="0" borderId="32" xfId="0" applyFont="1" applyBorder="1" applyAlignment="1" applyProtection="1">
      <alignment wrapText="1"/>
    </xf>
    <xf numFmtId="0" fontId="21" fillId="0" borderId="0" xfId="161" applyFill="1" applyAlignment="1" applyProtection="1"/>
    <xf numFmtId="0" fontId="30" fillId="0" borderId="0" xfId="161" applyFont="1" applyFill="1" applyProtection="1"/>
    <xf numFmtId="0" fontId="29" fillId="0" borderId="0" xfId="161" applyFont="1" applyFill="1" applyProtection="1"/>
    <xf numFmtId="49" fontId="28" fillId="0" borderId="18" xfId="161" applyNumberFormat="1" applyFont="1" applyFill="1" applyBorder="1" applyAlignment="1" applyProtection="1">
      <alignment horizontal="center" vertical="center" wrapText="1"/>
    </xf>
    <xf numFmtId="49" fontId="28" fillId="0" borderId="17" xfId="161" applyNumberFormat="1" applyFont="1" applyFill="1" applyBorder="1" applyAlignment="1" applyProtection="1">
      <alignment horizontal="center" vertical="center" wrapText="1"/>
    </xf>
    <xf numFmtId="49" fontId="28" fillId="0" borderId="19" xfId="161" applyNumberFormat="1" applyFont="1" applyFill="1" applyBorder="1" applyAlignment="1" applyProtection="1">
      <alignment horizontal="center" vertical="center" wrapText="1"/>
    </xf>
    <xf numFmtId="0" fontId="33" fillId="0" borderId="22" xfId="0" applyFont="1" applyBorder="1" applyAlignment="1" applyProtection="1">
      <alignment horizontal="center" wrapText="1"/>
    </xf>
    <xf numFmtId="0" fontId="32" fillId="0" borderId="18" xfId="0" applyFont="1" applyBorder="1" applyAlignment="1" applyProtection="1">
      <alignment horizontal="center" wrapText="1"/>
    </xf>
    <xf numFmtId="0" fontId="32" fillId="0" borderId="17" xfId="0" applyFont="1" applyBorder="1" applyAlignment="1" applyProtection="1">
      <alignment horizontal="center" wrapText="1"/>
    </xf>
    <xf numFmtId="0" fontId="32" fillId="0" borderId="19" xfId="0" applyFont="1" applyBorder="1" applyAlignment="1" applyProtection="1">
      <alignment horizontal="center" wrapText="1"/>
    </xf>
    <xf numFmtId="0" fontId="33" fillId="0" borderId="38" xfId="0" applyFont="1" applyBorder="1" applyAlignment="1" applyProtection="1">
      <alignment horizontal="center" wrapText="1"/>
    </xf>
    <xf numFmtId="49" fontId="28" fillId="0" borderId="20" xfId="161" applyNumberFormat="1" applyFont="1" applyFill="1" applyBorder="1" applyAlignment="1" applyProtection="1">
      <alignment horizontal="center" vertical="center" wrapText="1"/>
    </xf>
    <xf numFmtId="49" fontId="28" fillId="0" borderId="16" xfId="161" applyNumberFormat="1" applyFont="1" applyFill="1" applyBorder="1" applyAlignment="1" applyProtection="1">
      <alignment horizontal="center" vertical="center" wrapText="1"/>
    </xf>
    <xf numFmtId="49" fontId="28" fillId="0" borderId="21" xfId="161" applyNumberFormat="1" applyFont="1" applyFill="1" applyBorder="1" applyAlignment="1" applyProtection="1">
      <alignment horizontal="center" vertical="center" wrapText="1"/>
    </xf>
    <xf numFmtId="0" fontId="33" fillId="0" borderId="38" xfId="0" applyFont="1" applyBorder="1" applyAlignment="1" applyProtection="1">
      <alignment horizontal="center" vertical="center" wrapText="1"/>
    </xf>
    <xf numFmtId="166" fontId="34" fillId="0" borderId="34" xfId="161" applyNumberFormat="1" applyFont="1" applyFill="1" applyBorder="1" applyAlignment="1" applyProtection="1">
      <alignment horizontal="right" vertical="center" wrapText="1" inden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0" fontId="35" fillId="0" borderId="12" xfId="161" applyFont="1" applyFill="1" applyBorder="1" applyAlignment="1" applyProtection="1">
      <alignment horizontal="left" vertical="center" wrapText="1" indent="1"/>
    </xf>
    <xf numFmtId="0" fontId="35" fillId="0" borderId="11" xfId="161" applyFont="1" applyFill="1" applyBorder="1" applyAlignment="1" applyProtection="1">
      <alignment horizontal="left" vertical="center" wrapText="1" indent="1"/>
    </xf>
    <xf numFmtId="0" fontId="17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vertical="center" wrapText="1"/>
    </xf>
    <xf numFmtId="0" fontId="19" fillId="0" borderId="0" xfId="0" applyFont="1" applyFill="1" applyAlignment="1" applyProtection="1">
      <alignment vertical="center" wrapText="1"/>
    </xf>
    <xf numFmtId="166" fontId="35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34" xfId="161" applyNumberFormat="1" applyFont="1" applyFill="1" applyBorder="1" applyAlignment="1" applyProtection="1">
      <alignment horizontal="right" vertical="center" wrapText="1" indent="1"/>
      <protection locked="0"/>
    </xf>
    <xf numFmtId="49" fontId="34" fillId="0" borderId="22" xfId="161" applyNumberFormat="1" applyFont="1" applyFill="1" applyBorder="1" applyAlignment="1" applyProtection="1">
      <alignment horizontal="center" vertical="center" wrapText="1"/>
    </xf>
    <xf numFmtId="166" fontId="27" fillId="0" borderId="47" xfId="161" applyNumberFormat="1" applyFont="1" applyFill="1" applyBorder="1" applyAlignment="1" applyProtection="1">
      <alignment horizontal="right" vertical="center" wrapText="1" indent="1"/>
    </xf>
    <xf numFmtId="166" fontId="28" fillId="0" borderId="48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9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0" xfId="161" applyNumberFormat="1" applyFont="1" applyFill="1" applyBorder="1" applyAlignment="1" applyProtection="1">
      <alignment horizontal="right" vertical="center" wrapText="1" indent="1"/>
    </xf>
    <xf numFmtId="166" fontId="33" fillId="0" borderId="34" xfId="0" applyNumberFormat="1" applyFont="1" applyBorder="1" applyAlignment="1" applyProtection="1">
      <alignment horizontal="right" vertical="center" wrapText="1" indent="1"/>
    </xf>
    <xf numFmtId="166" fontId="33" fillId="0" borderId="34" xfId="0" applyNumberFormat="1" applyFont="1" applyBorder="1" applyAlignment="1" applyProtection="1">
      <alignment horizontal="right" vertical="center" wrapText="1" indent="1"/>
      <protection locked="0"/>
    </xf>
    <xf numFmtId="166" fontId="31" fillId="0" borderId="34" xfId="0" quotePrefix="1" applyNumberFormat="1" applyFont="1" applyBorder="1" applyAlignment="1" applyProtection="1">
      <alignment horizontal="right" vertical="center" wrapText="1" indent="1"/>
    </xf>
    <xf numFmtId="166" fontId="28" fillId="0" borderId="1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9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23" xfId="0" applyNumberFormat="1" applyFont="1" applyBorder="1" applyAlignment="1" applyProtection="1">
      <alignment horizontal="right" vertical="center" wrapText="1" indent="1"/>
    </xf>
    <xf numFmtId="166" fontId="33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1" fillId="0" borderId="23" xfId="0" quotePrefix="1" applyNumberFormat="1" applyFont="1" applyBorder="1" applyAlignment="1" applyProtection="1">
      <alignment horizontal="right" vertical="center" wrapText="1" indent="1"/>
    </xf>
    <xf numFmtId="0" fontId="18" fillId="0" borderId="29" xfId="161" applyFont="1" applyFill="1" applyBorder="1" applyAlignment="1" applyProtection="1">
      <alignment horizontal="center" vertical="center" wrapText="1"/>
    </xf>
    <xf numFmtId="0" fontId="18" fillId="0" borderId="51" xfId="161" applyFont="1" applyFill="1" applyBorder="1" applyAlignment="1" applyProtection="1">
      <alignment horizontal="center" vertical="center" wrapText="1"/>
    </xf>
    <xf numFmtId="0" fontId="27" fillId="0" borderId="52" xfId="161" applyFont="1" applyFill="1" applyBorder="1" applyAlignment="1" applyProtection="1">
      <alignment horizontal="center" vertical="center" wrapText="1"/>
    </xf>
    <xf numFmtId="166" fontId="27" fillId="0" borderId="53" xfId="161" applyNumberFormat="1" applyFont="1" applyFill="1" applyBorder="1" applyAlignment="1" applyProtection="1">
      <alignment horizontal="right" vertical="center" wrapText="1" indent="1"/>
    </xf>
    <xf numFmtId="166" fontId="27" fillId="0" borderId="33" xfId="161" applyNumberFormat="1" applyFont="1" applyFill="1" applyBorder="1" applyAlignment="1" applyProtection="1">
      <alignment horizontal="right" vertical="center" wrapText="1" indent="1"/>
    </xf>
    <xf numFmtId="166" fontId="28" fillId="0" borderId="30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4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4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161" applyNumberFormat="1" applyFont="1" applyFill="1" applyBorder="1" applyAlignment="1" applyProtection="1">
      <alignment horizontal="right" vertical="center" wrapText="1" indent="1"/>
    </xf>
    <xf numFmtId="166" fontId="33" fillId="0" borderId="33" xfId="0" applyNumberFormat="1" applyFont="1" applyBorder="1" applyAlignment="1" applyProtection="1">
      <alignment horizontal="right" vertical="center" wrapText="1" indent="1"/>
    </xf>
    <xf numFmtId="166" fontId="33" fillId="0" borderId="33" xfId="0" applyNumberFormat="1" applyFont="1" applyBorder="1" applyAlignment="1" applyProtection="1">
      <alignment horizontal="right" vertical="center" wrapText="1" indent="1"/>
      <protection locked="0"/>
    </xf>
    <xf numFmtId="166" fontId="31" fillId="0" borderId="33" xfId="0" quotePrefix="1" applyNumberFormat="1" applyFont="1" applyBorder="1" applyAlignment="1" applyProtection="1">
      <alignment horizontal="right" vertical="center" wrapText="1" indent="1"/>
    </xf>
    <xf numFmtId="0" fontId="27" fillId="0" borderId="33" xfId="161" applyFont="1" applyFill="1" applyBorder="1" applyAlignment="1" applyProtection="1">
      <alignment horizontal="center" vertical="center" wrapText="1"/>
    </xf>
    <xf numFmtId="166" fontId="28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41" fillId="0" borderId="0" xfId="0" applyFont="1" applyProtection="1"/>
    <xf numFmtId="0" fontId="30" fillId="0" borderId="0" xfId="0" applyFont="1" applyAlignment="1" applyProtection="1">
      <alignment horizontal="center"/>
    </xf>
    <xf numFmtId="0" fontId="42" fillId="0" borderId="0" xfId="0" applyFont="1" applyFill="1" applyProtection="1"/>
    <xf numFmtId="3" fontId="42" fillId="0" borderId="0" xfId="0" applyNumberFormat="1" applyFont="1" applyFill="1" applyAlignment="1" applyProtection="1">
      <alignment horizontal="right" indent="1"/>
    </xf>
    <xf numFmtId="0" fontId="42" fillId="0" borderId="0" xfId="0" applyFont="1" applyFill="1" applyAlignment="1" applyProtection="1">
      <alignment horizontal="right" indent="1"/>
    </xf>
    <xf numFmtId="3" fontId="36" fillId="0" borderId="0" xfId="0" applyNumberFormat="1" applyFont="1" applyFill="1" applyAlignment="1" applyProtection="1">
      <alignment horizontal="right" indent="1"/>
    </xf>
    <xf numFmtId="0" fontId="45" fillId="0" borderId="0" xfId="0" applyFont="1" applyFill="1" applyProtection="1"/>
    <xf numFmtId="0" fontId="39" fillId="0" borderId="0" xfId="0" applyFont="1" applyFill="1" applyProtection="1"/>
    <xf numFmtId="0" fontId="29" fillId="0" borderId="0" xfId="0" applyFont="1" applyProtection="1"/>
    <xf numFmtId="0" fontId="39" fillId="0" borderId="0" xfId="0" applyFont="1" applyProtection="1"/>
    <xf numFmtId="0" fontId="27" fillId="0" borderId="56" xfId="0" applyFont="1" applyFill="1" applyBorder="1" applyAlignment="1" applyProtection="1">
      <alignment horizontal="center" vertical="center" wrapText="1"/>
    </xf>
    <xf numFmtId="166" fontId="35" fillId="0" borderId="14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4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161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0" applyNumberFormat="1" applyFont="1" applyFill="1" applyBorder="1" applyAlignment="1" applyProtection="1">
      <alignment horizontal="right" vertical="center" wrapText="1" indent="1"/>
    </xf>
    <xf numFmtId="166" fontId="36" fillId="0" borderId="23" xfId="0" applyNumberFormat="1" applyFont="1" applyFill="1" applyBorder="1" applyAlignment="1" applyProtection="1">
      <alignment horizontal="right" vertical="center" wrapText="1" indent="1"/>
    </xf>
    <xf numFmtId="166" fontId="36" fillId="0" borderId="34" xfId="0" applyNumberFormat="1" applyFont="1" applyFill="1" applyBorder="1" applyAlignment="1" applyProtection="1">
      <alignment horizontal="right" vertical="center" wrapText="1" indent="1"/>
    </xf>
    <xf numFmtId="0" fontId="32" fillId="0" borderId="12" xfId="0" applyFont="1" applyBorder="1" applyAlignment="1">
      <alignment horizontal="left" wrapText="1" indent="1"/>
    </xf>
    <xf numFmtId="0" fontId="32" fillId="0" borderId="10" xfId="0" applyFont="1" applyBorder="1" applyAlignment="1">
      <alignment horizontal="left" vertical="center" wrapText="1" indent="1"/>
    </xf>
    <xf numFmtId="0" fontId="18" fillId="0" borderId="57" xfId="161" applyFont="1" applyFill="1" applyBorder="1" applyAlignment="1" applyProtection="1">
      <alignment horizontal="center" vertical="center" wrapText="1"/>
      <protection locked="0"/>
    </xf>
    <xf numFmtId="166" fontId="18" fillId="0" borderId="3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2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47" xfId="0" applyFont="1" applyFill="1" applyBorder="1" applyAlignment="1" applyProtection="1">
      <alignment horizontal="center" vertical="center" wrapText="1"/>
      <protection locked="0"/>
    </xf>
    <xf numFmtId="0" fontId="28" fillId="0" borderId="29" xfId="161" applyFont="1" applyFill="1" applyBorder="1" applyAlignment="1" applyProtection="1">
      <alignment horizontal="left" vertical="center" wrapText="1" indent="1"/>
    </xf>
    <xf numFmtId="0" fontId="21" fillId="0" borderId="0" xfId="161" applyFont="1" applyFill="1" applyProtection="1">
      <protection locked="0"/>
    </xf>
    <xf numFmtId="0" fontId="21" fillId="0" borderId="0" xfId="161" applyFont="1" applyFill="1" applyAlignment="1" applyProtection="1">
      <alignment horizontal="right" vertical="center" indent="1"/>
      <protection locked="0"/>
    </xf>
    <xf numFmtId="0" fontId="21" fillId="0" borderId="0" xfId="161" applyFill="1" applyProtection="1"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0" fontId="32" fillId="0" borderId="29" xfId="0" applyFont="1" applyBorder="1" applyAlignment="1" applyProtection="1">
      <alignment wrapText="1"/>
    </xf>
    <xf numFmtId="166" fontId="35" fillId="0" borderId="29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161" applyNumberFormat="1" applyFont="1" applyFill="1" applyBorder="1" applyAlignment="1" applyProtection="1">
      <alignment horizontal="right" vertical="center" wrapText="1" indent="1"/>
      <protection locked="0"/>
    </xf>
    <xf numFmtId="166" fontId="14" fillId="0" borderId="0" xfId="0" applyNumberFormat="1" applyFont="1" applyFill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center" vertical="center" wrapText="1"/>
      <protection locked="0"/>
    </xf>
    <xf numFmtId="49" fontId="18" fillId="0" borderId="34" xfId="0" applyNumberFormat="1" applyFont="1" applyFill="1" applyBorder="1" applyAlignment="1" applyProtection="1">
      <alignment horizontal="right" vertical="center" indent="1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vertical="center"/>
      <protection locked="0"/>
    </xf>
    <xf numFmtId="0" fontId="18" fillId="0" borderId="58" xfId="0" applyFont="1" applyFill="1" applyBorder="1" applyAlignment="1" applyProtection="1">
      <alignment horizontal="center" vertical="center" wrapText="1"/>
      <protection locked="0"/>
    </xf>
    <xf numFmtId="0" fontId="18" fillId="0" borderId="25" xfId="0" applyFont="1" applyFill="1" applyBorder="1" applyAlignment="1" applyProtection="1">
      <alignment horizontal="center" vertical="center" wrapText="1"/>
      <protection locked="0"/>
    </xf>
    <xf numFmtId="0" fontId="18" fillId="0" borderId="23" xfId="0" applyFont="1" applyFill="1" applyBorder="1" applyAlignment="1" applyProtection="1">
      <alignment horizontal="center" vertical="center" wrapText="1"/>
      <protection locked="0"/>
    </xf>
    <xf numFmtId="0" fontId="18" fillId="0" borderId="43" xfId="0" applyFont="1" applyFill="1" applyBorder="1" applyAlignment="1" applyProtection="1">
      <alignment horizontal="center" vertical="center" wrapText="1"/>
      <protection locked="0"/>
    </xf>
    <xf numFmtId="0" fontId="18" fillId="0" borderId="43" xfId="0" quotePrefix="1" applyFont="1" applyFill="1" applyBorder="1" applyAlignment="1" applyProtection="1">
      <alignment horizontal="right" vertical="center" indent="1"/>
      <protection locked="0"/>
    </xf>
    <xf numFmtId="49" fontId="18" fillId="0" borderId="43" xfId="0" applyNumberFormat="1" applyFont="1" applyFill="1" applyBorder="1" applyAlignment="1" applyProtection="1">
      <alignment horizontal="right" vertical="center" indent="1"/>
      <protection locked="0"/>
    </xf>
    <xf numFmtId="0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center" vertical="center" wrapText="1"/>
      <protection locked="0"/>
    </xf>
    <xf numFmtId="166" fontId="0" fillId="0" borderId="0" xfId="0" applyNumberFormat="1" applyFill="1" applyAlignment="1" applyProtection="1">
      <alignment vertical="center" wrapText="1"/>
      <protection locked="0"/>
    </xf>
    <xf numFmtId="166" fontId="16" fillId="0" borderId="0" xfId="0" applyNumberFormat="1" applyFont="1" applyFill="1" applyAlignment="1" applyProtection="1">
      <alignment horizontal="right" wrapText="1"/>
      <protection locked="0"/>
    </xf>
    <xf numFmtId="166" fontId="18" fillId="0" borderId="22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Alignment="1" applyProtection="1">
      <alignment horizontal="right" vertical="center"/>
      <protection locked="0"/>
    </xf>
    <xf numFmtId="166" fontId="18" fillId="0" borderId="22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23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33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28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60" xfId="0" applyNumberFormat="1" applyFont="1" applyFill="1" applyBorder="1" applyAlignment="1" applyProtection="1">
      <alignment horizontal="centerContinuous" vertical="center" wrapText="1"/>
      <protection locked="0"/>
    </xf>
    <xf numFmtId="166" fontId="18" fillId="0" borderId="47" xfId="0" applyNumberFormat="1" applyFont="1" applyFill="1" applyBorder="1" applyAlignment="1" applyProtection="1">
      <alignment horizontal="centerContinuous" vertical="center" wrapText="1"/>
      <protection locked="0"/>
    </xf>
    <xf numFmtId="166" fontId="34" fillId="0" borderId="43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33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22" xfId="0" applyFont="1" applyFill="1" applyBorder="1" applyAlignment="1" applyProtection="1">
      <alignment horizontal="center" vertical="center" wrapText="1"/>
      <protection locked="0"/>
    </xf>
    <xf numFmtId="0" fontId="27" fillId="0" borderId="23" xfId="0" applyFont="1" applyFill="1" applyBorder="1" applyAlignment="1" applyProtection="1">
      <alignment horizontal="center" vertical="center" wrapText="1"/>
      <protection locked="0"/>
    </xf>
    <xf numFmtId="0" fontId="27" fillId="0" borderId="56" xfId="0" applyFont="1" applyFill="1" applyBorder="1" applyAlignment="1" applyProtection="1">
      <alignment horizontal="center" vertical="center" wrapText="1"/>
      <protection locked="0"/>
    </xf>
    <xf numFmtId="0" fontId="27" fillId="0" borderId="28" xfId="0" applyFont="1" applyFill="1" applyBorder="1" applyAlignment="1" applyProtection="1">
      <alignment horizontal="center" vertical="center" wrapText="1"/>
      <protection locked="0"/>
    </xf>
    <xf numFmtId="0" fontId="18" fillId="0" borderId="57" xfId="161" applyFont="1" applyFill="1" applyBorder="1" applyAlignment="1" applyProtection="1">
      <alignment horizontal="center" vertical="center" wrapText="1"/>
    </xf>
    <xf numFmtId="0" fontId="27" fillId="0" borderId="34" xfId="161" applyFont="1" applyFill="1" applyBorder="1" applyAlignment="1" applyProtection="1">
      <alignment horizontal="center" vertical="center" wrapText="1"/>
    </xf>
    <xf numFmtId="0" fontId="21" fillId="0" borderId="0" xfId="161" applyFill="1" applyAlignment="1" applyProtection="1">
      <alignment horizontal="left" vertical="center" indent="1"/>
    </xf>
    <xf numFmtId="166" fontId="53" fillId="0" borderId="0" xfId="0" applyNumberFormat="1" applyFont="1" applyFill="1" applyAlignment="1">
      <alignment vertical="center"/>
    </xf>
    <xf numFmtId="166" fontId="18" fillId="0" borderId="63" xfId="0" applyNumberFormat="1" applyFont="1" applyFill="1" applyBorder="1" applyAlignment="1" applyProtection="1">
      <alignment horizontal="center" vertical="center"/>
    </xf>
    <xf numFmtId="166" fontId="18" fillId="0" borderId="64" xfId="0" applyNumberFormat="1" applyFont="1" applyFill="1" applyBorder="1" applyAlignment="1" applyProtection="1">
      <alignment horizontal="center" vertical="center"/>
    </xf>
    <xf numFmtId="166" fontId="18" fillId="0" borderId="57" xfId="0" applyNumberFormat="1" applyFont="1" applyFill="1" applyBorder="1" applyAlignment="1" applyProtection="1">
      <alignment horizontal="center" vertical="center" wrapText="1"/>
    </xf>
    <xf numFmtId="166" fontId="53" fillId="0" borderId="0" xfId="0" applyNumberFormat="1" applyFont="1" applyFill="1" applyAlignment="1">
      <alignment horizontal="center" vertical="center"/>
    </xf>
    <xf numFmtId="166" fontId="27" fillId="0" borderId="53" xfId="0" applyNumberFormat="1" applyFont="1" applyFill="1" applyBorder="1" applyAlignment="1" applyProtection="1">
      <alignment horizontal="center" vertical="center" wrapText="1"/>
    </xf>
    <xf numFmtId="166" fontId="27" fillId="0" borderId="44" xfId="0" applyNumberFormat="1" applyFont="1" applyFill="1" applyBorder="1" applyAlignment="1" applyProtection="1">
      <alignment horizontal="center" vertical="center" wrapText="1"/>
    </xf>
    <xf numFmtId="166" fontId="27" fillId="0" borderId="0" xfId="0" applyNumberFormat="1" applyFont="1" applyFill="1" applyAlignment="1">
      <alignment horizontal="center" vertical="center" wrapText="1"/>
    </xf>
    <xf numFmtId="1" fontId="37" fillId="21" borderId="13" xfId="0" applyNumberFormat="1" applyFont="1" applyFill="1" applyBorder="1" applyAlignment="1" applyProtection="1">
      <alignment horizontal="center" vertical="center" wrapText="1"/>
    </xf>
    <xf numFmtId="166" fontId="34" fillId="0" borderId="13" xfId="0" applyNumberFormat="1" applyFont="1" applyFill="1" applyBorder="1" applyAlignment="1" applyProtection="1">
      <alignment vertical="center" wrapText="1"/>
    </xf>
    <xf numFmtId="166" fontId="34" fillId="0" borderId="61" xfId="0" applyNumberFormat="1" applyFont="1" applyFill="1" applyBorder="1" applyAlignment="1" applyProtection="1">
      <alignment vertical="center" wrapText="1"/>
    </xf>
    <xf numFmtId="166" fontId="34" fillId="0" borderId="65" xfId="0" applyNumberFormat="1" applyFont="1" applyFill="1" applyBorder="1" applyAlignment="1" applyProtection="1">
      <alignment vertical="center" wrapText="1"/>
    </xf>
    <xf numFmtId="1" fontId="24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39" xfId="0" applyNumberFormat="1" applyFont="1" applyFill="1" applyBorder="1" applyAlignment="1" applyProtection="1">
      <alignment vertical="center" wrapText="1"/>
      <protection locked="0"/>
    </xf>
    <xf numFmtId="166" fontId="28" fillId="0" borderId="41" xfId="0" applyNumberFormat="1" applyFont="1" applyFill="1" applyBorder="1" applyAlignment="1" applyProtection="1">
      <alignment vertical="center" wrapText="1"/>
    </xf>
    <xf numFmtId="1" fontId="37" fillId="21" borderId="11" xfId="0" applyNumberFormat="1" applyFont="1" applyFill="1" applyBorder="1" applyAlignment="1" applyProtection="1">
      <alignment horizontal="center" vertical="center" wrapText="1"/>
    </xf>
    <xf numFmtId="166" fontId="34" fillId="0" borderId="11" xfId="0" applyNumberFormat="1" applyFont="1" applyFill="1" applyBorder="1" applyAlignment="1" applyProtection="1">
      <alignment vertical="center" wrapText="1"/>
    </xf>
    <xf numFmtId="166" fontId="34" fillId="0" borderId="41" xfId="0" applyNumberFormat="1" applyFont="1" applyFill="1" applyBorder="1" applyAlignment="1" applyProtection="1">
      <alignment vertical="center" wrapText="1"/>
    </xf>
    <xf numFmtId="1" fontId="28" fillId="21" borderId="53" xfId="0" applyNumberFormat="1" applyFont="1" applyFill="1" applyBorder="1" applyAlignment="1" applyProtection="1">
      <alignment vertical="center" wrapText="1"/>
    </xf>
    <xf numFmtId="166" fontId="34" fillId="0" borderId="23" xfId="0" applyNumberFormat="1" applyFont="1" applyFill="1" applyBorder="1" applyAlignment="1" applyProtection="1">
      <alignment vertical="center" wrapText="1"/>
    </xf>
    <xf numFmtId="166" fontId="34" fillId="0" borderId="53" xfId="0" applyNumberFormat="1" applyFont="1" applyFill="1" applyBorder="1" applyAlignment="1" applyProtection="1">
      <alignment vertical="center" wrapText="1"/>
    </xf>
    <xf numFmtId="166" fontId="34" fillId="0" borderId="43" xfId="0" applyNumberFormat="1" applyFont="1" applyFill="1" applyBorder="1" applyAlignment="1" applyProtection="1">
      <alignment vertical="center" wrapText="1"/>
    </xf>
    <xf numFmtId="166" fontId="20" fillId="0" borderId="0" xfId="0" applyNumberFormat="1" applyFont="1" applyFill="1" applyAlignment="1">
      <alignment vertical="center" wrapText="1"/>
    </xf>
    <xf numFmtId="166" fontId="53" fillId="0" borderId="0" xfId="0" applyNumberFormat="1" applyFont="1" applyFill="1" applyAlignment="1">
      <alignment horizontal="center" vertical="center" wrapText="1"/>
    </xf>
    <xf numFmtId="166" fontId="27" fillId="0" borderId="22" xfId="0" applyNumberFormat="1" applyFont="1" applyFill="1" applyBorder="1" applyAlignment="1">
      <alignment horizontal="right" vertical="center" wrapText="1" indent="1"/>
    </xf>
    <xf numFmtId="166" fontId="27" fillId="0" borderId="43" xfId="0" applyNumberFormat="1" applyFont="1" applyFill="1" applyBorder="1" applyAlignment="1">
      <alignment horizontal="left" vertical="center" wrapText="1" indent="1"/>
    </xf>
    <xf numFmtId="166" fontId="24" fillId="21" borderId="43" xfId="0" applyNumberFormat="1" applyFont="1" applyFill="1" applyBorder="1" applyAlignment="1">
      <alignment horizontal="left" vertical="center" wrapText="1" indent="2"/>
    </xf>
    <xf numFmtId="166" fontId="24" fillId="21" borderId="33" xfId="0" applyNumberFormat="1" applyFont="1" applyFill="1" applyBorder="1" applyAlignment="1">
      <alignment horizontal="left" vertical="center" wrapText="1" indent="2"/>
    </xf>
    <xf numFmtId="166" fontId="27" fillId="0" borderId="22" xfId="0" applyNumberFormat="1" applyFont="1" applyFill="1" applyBorder="1" applyAlignment="1">
      <alignment vertical="center" wrapText="1"/>
    </xf>
    <xf numFmtId="166" fontId="27" fillId="0" borderId="23" xfId="0" applyNumberFormat="1" applyFont="1" applyFill="1" applyBorder="1" applyAlignment="1">
      <alignment vertical="center" wrapText="1"/>
    </xf>
    <xf numFmtId="166" fontId="27" fillId="0" borderId="28" xfId="0" applyNumberFormat="1" applyFont="1" applyFill="1" applyBorder="1" applyAlignment="1">
      <alignment vertical="center" wrapText="1"/>
    </xf>
    <xf numFmtId="166" fontId="27" fillId="0" borderId="17" xfId="0" applyNumberFormat="1" applyFont="1" applyFill="1" applyBorder="1" applyAlignment="1">
      <alignment horizontal="right" vertical="center" wrapText="1" indent="1"/>
    </xf>
    <xf numFmtId="166" fontId="28" fillId="0" borderId="41" xfId="0" applyNumberFormat="1" applyFont="1" applyFill="1" applyBorder="1" applyAlignment="1" applyProtection="1">
      <alignment horizontal="left" vertical="center" wrapText="1" indent="1"/>
      <protection locked="0"/>
    </xf>
    <xf numFmtId="167" fontId="24" fillId="0" borderId="41" xfId="0" applyNumberFormat="1" applyFont="1" applyFill="1" applyBorder="1" applyAlignment="1" applyProtection="1">
      <alignment horizontal="right" vertical="center" wrapText="1" indent="2"/>
      <protection locked="0"/>
    </xf>
    <xf numFmtId="167" fontId="24" fillId="0" borderId="11" xfId="0" applyNumberFormat="1" applyFont="1" applyFill="1" applyBorder="1" applyAlignment="1" applyProtection="1">
      <alignment horizontal="right" vertical="center" wrapText="1" indent="2"/>
      <protection locked="0"/>
    </xf>
    <xf numFmtId="166" fontId="28" fillId="0" borderId="17" xfId="0" applyNumberFormat="1" applyFont="1" applyFill="1" applyBorder="1" applyAlignment="1" applyProtection="1">
      <alignment vertical="center" wrapText="1"/>
      <protection locked="0"/>
    </xf>
    <xf numFmtId="166" fontId="28" fillId="0" borderId="26" xfId="0" applyNumberFormat="1" applyFont="1" applyFill="1" applyBorder="1" applyAlignment="1" applyProtection="1">
      <alignment vertical="center" wrapText="1"/>
      <protection locked="0"/>
    </xf>
    <xf numFmtId="166" fontId="24" fillId="21" borderId="43" xfId="0" applyNumberFormat="1" applyFont="1" applyFill="1" applyBorder="1" applyAlignment="1">
      <alignment horizontal="right" vertical="center" wrapText="1" indent="2"/>
    </xf>
    <xf numFmtId="166" fontId="24" fillId="21" borderId="33" xfId="0" applyNumberFormat="1" applyFont="1" applyFill="1" applyBorder="1" applyAlignment="1">
      <alignment horizontal="right" vertical="center" wrapText="1" indent="2"/>
    </xf>
    <xf numFmtId="166" fontId="35" fillId="0" borderId="39" xfId="0" applyNumberFormat="1" applyFont="1" applyFill="1" applyBorder="1" applyAlignment="1" applyProtection="1">
      <alignment vertical="center"/>
      <protection locked="0"/>
    </xf>
    <xf numFmtId="166" fontId="34" fillId="0" borderId="39" xfId="0" applyNumberFormat="1" applyFont="1" applyFill="1" applyBorder="1" applyAlignment="1" applyProtection="1">
      <alignment vertical="center"/>
    </xf>
    <xf numFmtId="166" fontId="35" fillId="0" borderId="66" xfId="0" applyNumberFormat="1" applyFont="1" applyFill="1" applyBorder="1" applyAlignment="1" applyProtection="1">
      <alignment vertical="center"/>
      <protection locked="0"/>
    </xf>
    <xf numFmtId="0" fontId="35" fillId="0" borderId="21" xfId="0" applyFont="1" applyFill="1" applyBorder="1" applyAlignment="1" applyProtection="1">
      <alignment horizontal="center" vertical="center"/>
    </xf>
    <xf numFmtId="0" fontId="35" fillId="0" borderId="29" xfId="0" applyFont="1" applyFill="1" applyBorder="1" applyAlignment="1" applyProtection="1">
      <alignment vertical="center" wrapText="1"/>
    </xf>
    <xf numFmtId="166" fontId="35" fillId="0" borderId="29" xfId="0" applyNumberFormat="1" applyFont="1" applyFill="1" applyBorder="1" applyAlignment="1" applyProtection="1">
      <alignment vertical="center"/>
      <protection locked="0"/>
    </xf>
    <xf numFmtId="166" fontId="35" fillId="0" borderId="64" xfId="0" applyNumberFormat="1" applyFont="1" applyFill="1" applyBorder="1" applyAlignment="1" applyProtection="1">
      <alignment vertical="center"/>
      <protection locked="0"/>
    </xf>
    <xf numFmtId="166" fontId="34" fillId="0" borderId="53" xfId="0" applyNumberFormat="1" applyFont="1" applyFill="1" applyBorder="1" applyAlignment="1" applyProtection="1">
      <alignment vertical="center"/>
    </xf>
    <xf numFmtId="166" fontId="34" fillId="0" borderId="57" xfId="0" applyNumberFormat="1" applyFont="1" applyFill="1" applyBorder="1" applyAlignment="1" applyProtection="1">
      <alignment vertical="center"/>
    </xf>
    <xf numFmtId="166" fontId="36" fillId="0" borderId="23" xfId="0" applyNumberFormat="1" applyFont="1" applyFill="1" applyBorder="1" applyAlignment="1" applyProtection="1">
      <alignment vertical="center"/>
    </xf>
    <xf numFmtId="0" fontId="35" fillId="0" borderId="18" xfId="0" applyFont="1" applyFill="1" applyBorder="1" applyAlignment="1" applyProtection="1">
      <alignment horizontal="right" vertical="center" wrapText="1" indent="1"/>
    </xf>
    <xf numFmtId="0" fontId="32" fillId="0" borderId="30" xfId="0" applyFont="1" applyFill="1" applyBorder="1" applyAlignment="1" applyProtection="1">
      <alignment horizontal="left" vertical="center" wrapText="1" indent="1"/>
      <protection locked="0"/>
    </xf>
    <xf numFmtId="3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6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7" xfId="0" applyFont="1" applyFill="1" applyBorder="1" applyAlignment="1" applyProtection="1">
      <alignment horizontal="right" vertical="center" wrapText="1" indent="1"/>
    </xf>
    <xf numFmtId="0" fontId="32" fillId="0" borderId="14" xfId="0" applyFont="1" applyFill="1" applyBorder="1" applyAlignment="1" applyProtection="1">
      <alignment horizontal="left" vertical="center" wrapText="1" indent="1"/>
      <protection locked="0"/>
    </xf>
    <xf numFmtId="3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7" xfId="0" applyFont="1" applyFill="1" applyBorder="1" applyAlignment="1">
      <alignment horizontal="right" vertical="center" wrapText="1" indent="1"/>
    </xf>
    <xf numFmtId="0" fontId="32" fillId="0" borderId="14" xfId="0" applyFont="1" applyFill="1" applyBorder="1" applyAlignment="1" applyProtection="1">
      <alignment horizontal="left" vertical="center" wrapText="1" indent="8"/>
      <protection locked="0"/>
    </xf>
    <xf numFmtId="0" fontId="35" fillId="0" borderId="11" xfId="0" applyFont="1" applyFill="1" applyBorder="1" applyAlignment="1" applyProtection="1">
      <alignment vertical="center" wrapText="1"/>
      <protection locked="0"/>
    </xf>
    <xf numFmtId="0" fontId="35" fillId="0" borderId="21" xfId="0" applyFont="1" applyFill="1" applyBorder="1" applyAlignment="1">
      <alignment horizontal="right" vertical="center" wrapText="1" indent="1"/>
    </xf>
    <xf numFmtId="0" fontId="35" fillId="0" borderId="29" xfId="0" applyFont="1" applyFill="1" applyBorder="1" applyAlignment="1" applyProtection="1">
      <alignment vertical="center" wrapText="1"/>
      <protection locked="0"/>
    </xf>
    <xf numFmtId="3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7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2" xfId="0" applyFont="1" applyFill="1" applyBorder="1" applyAlignment="1">
      <alignment horizontal="right" vertical="center" wrapText="1" indent="1"/>
    </xf>
    <xf numFmtId="0" fontId="0" fillId="0" borderId="0" xfId="0" applyFill="1" applyAlignment="1">
      <alignment horizontal="center" vertical="center" wrapText="1"/>
    </xf>
    <xf numFmtId="0" fontId="35" fillId="0" borderId="17" xfId="0" applyFont="1" applyFill="1" applyBorder="1" applyAlignment="1">
      <alignment horizontal="right" vertical="center" indent="1"/>
    </xf>
    <xf numFmtId="0" fontId="0" fillId="0" borderId="23" xfId="0" applyFill="1" applyBorder="1" applyAlignment="1">
      <alignment vertical="center"/>
    </xf>
    <xf numFmtId="166" fontId="34" fillId="0" borderId="23" xfId="0" applyNumberFormat="1" applyFont="1" applyFill="1" applyBorder="1" applyAlignment="1">
      <alignment vertical="center" wrapText="1"/>
    </xf>
    <xf numFmtId="166" fontId="34" fillId="0" borderId="28" xfId="0" applyNumberFormat="1" applyFont="1" applyFill="1" applyBorder="1" applyAlignment="1">
      <alignment vertical="center" wrapText="1"/>
    </xf>
    <xf numFmtId="0" fontId="48" fillId="0" borderId="0" xfId="163" applyFill="1" applyProtection="1"/>
    <xf numFmtId="0" fontId="57" fillId="0" borderId="0" xfId="163" applyFont="1" applyFill="1" applyProtection="1"/>
    <xf numFmtId="0" fontId="48" fillId="0" borderId="0" xfId="163" applyFill="1" applyAlignment="1" applyProtection="1">
      <alignment horizontal="center" vertical="center"/>
    </xf>
    <xf numFmtId="0" fontId="33" fillId="0" borderId="20" xfId="163" applyFont="1" applyFill="1" applyBorder="1" applyAlignment="1" applyProtection="1">
      <alignment vertical="center" wrapText="1"/>
    </xf>
    <xf numFmtId="169" fontId="28" fillId="0" borderId="13" xfId="162" applyNumberFormat="1" applyFont="1" applyFill="1" applyBorder="1" applyAlignment="1" applyProtection="1">
      <alignment horizontal="center" vertical="center"/>
    </xf>
    <xf numFmtId="0" fontId="48" fillId="0" borderId="0" xfId="163" applyFill="1" applyAlignment="1" applyProtection="1">
      <alignment vertical="center"/>
    </xf>
    <xf numFmtId="0" fontId="33" fillId="0" borderId="17" xfId="163" applyFont="1" applyFill="1" applyBorder="1" applyAlignment="1" applyProtection="1">
      <alignment vertical="center" wrapText="1"/>
    </xf>
    <xf numFmtId="169" fontId="28" fillId="0" borderId="11" xfId="162" applyNumberFormat="1" applyFont="1" applyFill="1" applyBorder="1" applyAlignment="1" applyProtection="1">
      <alignment horizontal="center" vertical="center"/>
    </xf>
    <xf numFmtId="0" fontId="62" fillId="0" borderId="17" xfId="163" applyFont="1" applyFill="1" applyBorder="1" applyAlignment="1" applyProtection="1">
      <alignment horizontal="left" vertical="center" wrapText="1" indent="1"/>
    </xf>
    <xf numFmtId="0" fontId="33" fillId="0" borderId="21" xfId="163" applyFont="1" applyFill="1" applyBorder="1" applyAlignment="1" applyProtection="1">
      <alignment vertical="center" wrapText="1"/>
    </xf>
    <xf numFmtId="169" fontId="28" fillId="0" borderId="29" xfId="162" applyNumberFormat="1" applyFont="1" applyFill="1" applyBorder="1" applyAlignment="1" applyProtection="1">
      <alignment horizontal="center" vertical="center"/>
    </xf>
    <xf numFmtId="170" fontId="61" fillId="0" borderId="29" xfId="163" applyNumberFormat="1" applyFont="1" applyFill="1" applyBorder="1" applyAlignment="1" applyProtection="1">
      <alignment horizontal="right" vertical="center" wrapText="1"/>
    </xf>
    <xf numFmtId="0" fontId="32" fillId="0" borderId="0" xfId="163" applyFont="1" applyFill="1" applyProtection="1"/>
    <xf numFmtId="3" fontId="48" fillId="0" borderId="0" xfId="163" applyNumberFormat="1" applyFont="1" applyFill="1" applyProtection="1"/>
    <xf numFmtId="0" fontId="48" fillId="0" borderId="0" xfId="163" applyFont="1" applyFill="1" applyProtection="1"/>
    <xf numFmtId="0" fontId="25" fillId="0" borderId="0" xfId="162" applyFill="1" applyAlignment="1" applyProtection="1">
      <alignment vertical="center"/>
    </xf>
    <xf numFmtId="0" fontId="25" fillId="0" borderId="0" xfId="162" applyFill="1" applyAlignment="1" applyProtection="1">
      <alignment vertical="center" wrapText="1"/>
    </xf>
    <xf numFmtId="0" fontId="25" fillId="0" borderId="0" xfId="162" applyFill="1" applyAlignment="1" applyProtection="1">
      <alignment horizontal="center" vertical="center"/>
    </xf>
    <xf numFmtId="49" fontId="24" fillId="0" borderId="0" xfId="162" applyNumberFormat="1" applyFont="1" applyFill="1" applyAlignment="1" applyProtection="1">
      <alignment horizontal="center" vertical="center"/>
    </xf>
    <xf numFmtId="169" fontId="28" fillId="0" borderId="12" xfId="162" applyNumberFormat="1" applyFont="1" applyFill="1" applyBorder="1" applyAlignment="1" applyProtection="1">
      <alignment horizontal="center" vertical="center"/>
    </xf>
    <xf numFmtId="171" fontId="28" fillId="0" borderId="67" xfId="162" applyNumberFormat="1" applyFont="1" applyFill="1" applyBorder="1" applyAlignment="1" applyProtection="1">
      <alignment vertical="center"/>
      <protection locked="0"/>
    </xf>
    <xf numFmtId="171" fontId="28" fillId="0" borderId="26" xfId="162" applyNumberFormat="1" applyFont="1" applyFill="1" applyBorder="1" applyAlignment="1" applyProtection="1">
      <alignment vertical="center"/>
      <protection locked="0"/>
    </xf>
    <xf numFmtId="171" fontId="27" fillId="0" borderId="26" xfId="162" applyNumberFormat="1" applyFont="1" applyFill="1" applyBorder="1" applyAlignment="1" applyProtection="1">
      <alignment vertical="center"/>
    </xf>
    <xf numFmtId="171" fontId="27" fillId="0" borderId="26" xfId="162" applyNumberFormat="1" applyFont="1" applyFill="1" applyBorder="1" applyAlignment="1" applyProtection="1">
      <alignment vertical="center"/>
      <protection locked="0"/>
    </xf>
    <xf numFmtId="0" fontId="24" fillId="0" borderId="0" xfId="162" applyFont="1" applyFill="1" applyAlignment="1" applyProtection="1">
      <alignment vertical="center"/>
    </xf>
    <xf numFmtId="0" fontId="27" fillId="0" borderId="21" xfId="162" applyFont="1" applyFill="1" applyBorder="1" applyAlignment="1" applyProtection="1">
      <alignment horizontal="left" vertical="center" wrapText="1"/>
    </xf>
    <xf numFmtId="171" fontId="27" fillId="0" borderId="57" xfId="162" applyNumberFormat="1" applyFont="1" applyFill="1" applyBorder="1" applyAlignment="1" applyProtection="1">
      <alignment vertical="center"/>
    </xf>
    <xf numFmtId="0" fontId="48" fillId="0" borderId="0" xfId="163" applyFont="1" applyFill="1" applyAlignment="1" applyProtection="1"/>
    <xf numFmtId="0" fontId="26" fillId="0" borderId="0" xfId="162" applyFont="1" applyFill="1" applyAlignment="1" applyProtection="1">
      <alignment horizontal="center" vertical="center"/>
    </xf>
    <xf numFmtId="0" fontId="48" fillId="0" borderId="0" xfId="163" applyFill="1"/>
    <xf numFmtId="0" fontId="31" fillId="0" borderId="24" xfId="163" applyFont="1" applyFill="1" applyBorder="1" applyAlignment="1">
      <alignment horizontal="center" vertical="center"/>
    </xf>
    <xf numFmtId="0" fontId="60" fillId="0" borderId="25" xfId="162" applyFont="1" applyFill="1" applyBorder="1" applyAlignment="1" applyProtection="1">
      <alignment horizontal="center" vertical="center" textRotation="90"/>
    </xf>
    <xf numFmtId="0" fontId="31" fillId="0" borderId="25" xfId="163" applyFont="1" applyFill="1" applyBorder="1" applyAlignment="1">
      <alignment horizontal="center" vertical="center" wrapText="1"/>
    </xf>
    <xf numFmtId="0" fontId="31" fillId="0" borderId="68" xfId="163" applyFont="1" applyFill="1" applyBorder="1" applyAlignment="1">
      <alignment horizontal="center" vertical="center" wrapText="1"/>
    </xf>
    <xf numFmtId="0" fontId="31" fillId="0" borderId="22" xfId="163" applyFont="1" applyFill="1" applyBorder="1" applyAlignment="1">
      <alignment horizontal="center" vertical="center"/>
    </xf>
    <xf numFmtId="0" fontId="31" fillId="0" borderId="23" xfId="163" applyFont="1" applyFill="1" applyBorder="1" applyAlignment="1">
      <alignment horizontal="center" vertical="center" wrapText="1"/>
    </xf>
    <xf numFmtId="0" fontId="31" fillId="0" borderId="28" xfId="163" applyFont="1" applyFill="1" applyBorder="1" applyAlignment="1">
      <alignment horizontal="center" vertical="center" wrapText="1"/>
    </xf>
    <xf numFmtId="0" fontId="32" fillId="0" borderId="17" xfId="163" applyFont="1" applyFill="1" applyBorder="1" applyProtection="1">
      <protection locked="0"/>
    </xf>
    <xf numFmtId="0" fontId="32" fillId="0" borderId="12" xfId="163" applyFont="1" applyFill="1" applyBorder="1" applyAlignment="1">
      <alignment horizontal="right" indent="1"/>
    </xf>
    <xf numFmtId="3" fontId="32" fillId="0" borderId="12" xfId="163" applyNumberFormat="1" applyFont="1" applyFill="1" applyBorder="1" applyProtection="1">
      <protection locked="0"/>
    </xf>
    <xf numFmtId="3" fontId="32" fillId="0" borderId="67" xfId="163" applyNumberFormat="1" applyFont="1" applyFill="1" applyBorder="1" applyProtection="1">
      <protection locked="0"/>
    </xf>
    <xf numFmtId="0" fontId="32" fillId="0" borderId="11" xfId="163" applyFont="1" applyFill="1" applyBorder="1" applyAlignment="1">
      <alignment horizontal="right" indent="1"/>
    </xf>
    <xf numFmtId="3" fontId="32" fillId="0" borderId="11" xfId="163" applyNumberFormat="1" applyFont="1" applyFill="1" applyBorder="1" applyProtection="1">
      <protection locked="0"/>
    </xf>
    <xf numFmtId="3" fontId="32" fillId="0" borderId="26" xfId="163" applyNumberFormat="1" applyFont="1" applyFill="1" applyBorder="1" applyProtection="1">
      <protection locked="0"/>
    </xf>
    <xf numFmtId="0" fontId="32" fillId="0" borderId="19" xfId="163" applyFont="1" applyFill="1" applyBorder="1" applyProtection="1">
      <protection locked="0"/>
    </xf>
    <xf numFmtId="0" fontId="32" fillId="0" borderId="15" xfId="163" applyFont="1" applyFill="1" applyBorder="1" applyAlignment="1">
      <alignment horizontal="right" indent="1"/>
    </xf>
    <xf numFmtId="3" fontId="32" fillId="0" borderId="15" xfId="163" applyNumberFormat="1" applyFont="1" applyFill="1" applyBorder="1" applyProtection="1">
      <protection locked="0"/>
    </xf>
    <xf numFmtId="3" fontId="32" fillId="0" borderId="27" xfId="163" applyNumberFormat="1" applyFont="1" applyFill="1" applyBorder="1" applyProtection="1">
      <protection locked="0"/>
    </xf>
    <xf numFmtId="0" fontId="33" fillId="0" borderId="22" xfId="163" applyFont="1" applyFill="1" applyBorder="1" applyProtection="1">
      <protection locked="0"/>
    </xf>
    <xf numFmtId="0" fontId="32" fillId="0" borderId="23" xfId="163" applyFont="1" applyFill="1" applyBorder="1" applyAlignment="1">
      <alignment horizontal="right" indent="1"/>
    </xf>
    <xf numFmtId="171" fontId="27" fillId="0" borderId="28" xfId="162" applyNumberFormat="1" applyFont="1" applyFill="1" applyBorder="1" applyAlignment="1" applyProtection="1">
      <alignment vertical="center"/>
    </xf>
    <xf numFmtId="0" fontId="32" fillId="0" borderId="18" xfId="163" applyFont="1" applyFill="1" applyBorder="1" applyProtection="1">
      <protection locked="0"/>
    </xf>
    <xf numFmtId="3" fontId="32" fillId="0" borderId="69" xfId="163" applyNumberFormat="1" applyFont="1" applyFill="1" applyBorder="1"/>
    <xf numFmtId="0" fontId="65" fillId="0" borderId="0" xfId="163" applyFont="1" applyFill="1"/>
    <xf numFmtId="0" fontId="48" fillId="0" borderId="0" xfId="163" applyFont="1" applyFill="1"/>
    <xf numFmtId="0" fontId="48" fillId="0" borderId="0" xfId="163" applyFont="1" applyFill="1" applyAlignment="1"/>
    <xf numFmtId="0" fontId="56" fillId="0" borderId="0" xfId="163" applyFont="1" applyFill="1" applyAlignment="1">
      <alignment horizontal="center"/>
    </xf>
    <xf numFmtId="0" fontId="66" fillId="0" borderId="0" xfId="0" applyFont="1" applyAlignment="1" applyProtection="1">
      <alignment horizontal="center"/>
    </xf>
    <xf numFmtId="0" fontId="68" fillId="0" borderId="11" xfId="0" applyFont="1" applyBorder="1" applyAlignment="1" applyProtection="1">
      <alignment horizontal="left" vertical="top" wrapText="1"/>
      <protection locked="0"/>
    </xf>
    <xf numFmtId="9" fontId="68" fillId="0" borderId="11" xfId="175" applyFont="1" applyBorder="1" applyAlignment="1" applyProtection="1">
      <alignment horizontal="center" vertical="center" wrapText="1"/>
      <protection locked="0"/>
    </xf>
    <xf numFmtId="168" fontId="68" fillId="0" borderId="11" xfId="91" applyNumberFormat="1" applyFont="1" applyBorder="1" applyAlignment="1" applyProtection="1">
      <alignment horizontal="center" vertical="center" wrapText="1"/>
      <protection locked="0"/>
    </xf>
    <xf numFmtId="0" fontId="68" fillId="0" borderId="15" xfId="0" applyFont="1" applyBorder="1" applyAlignment="1" applyProtection="1">
      <alignment horizontal="left" vertical="top" wrapText="1"/>
      <protection locked="0"/>
    </xf>
    <xf numFmtId="9" fontId="68" fillId="0" borderId="15" xfId="175" applyFont="1" applyBorder="1" applyAlignment="1" applyProtection="1">
      <alignment horizontal="center" vertical="center" wrapText="1"/>
      <protection locked="0"/>
    </xf>
    <xf numFmtId="168" fontId="68" fillId="0" borderId="15" xfId="91" applyNumberFormat="1" applyFont="1" applyBorder="1" applyAlignment="1" applyProtection="1">
      <alignment horizontal="center" vertical="center" wrapText="1"/>
      <protection locked="0"/>
    </xf>
    <xf numFmtId="0" fontId="66" fillId="22" borderId="23" xfId="0" applyFont="1" applyFill="1" applyBorder="1" applyAlignment="1" applyProtection="1">
      <alignment horizontal="center" vertical="top" wrapText="1"/>
    </xf>
    <xf numFmtId="168" fontId="68" fillId="0" borderId="23" xfId="91" applyNumberFormat="1" applyFont="1" applyBorder="1" applyAlignment="1" applyProtection="1">
      <alignment horizontal="center" vertical="center" wrapText="1"/>
    </xf>
    <xf numFmtId="0" fontId="53" fillId="0" borderId="0" xfId="0" applyFont="1" applyFill="1" applyAlignment="1">
      <alignment horizontal="center"/>
    </xf>
    <xf numFmtId="0" fontId="69" fillId="0" borderId="0" xfId="0" applyFont="1" applyFill="1" applyAlignment="1">
      <alignment horizontal="right"/>
    </xf>
    <xf numFmtId="0" fontId="15" fillId="0" borderId="22" xfId="0" applyFont="1" applyFill="1" applyBorder="1" applyAlignment="1">
      <alignment horizontal="center" vertical="center" wrapText="1"/>
    </xf>
    <xf numFmtId="0" fontId="53" fillId="0" borderId="23" xfId="0" applyFont="1" applyFill="1" applyBorder="1" applyAlignment="1">
      <alignment horizontal="center" vertical="center"/>
    </xf>
    <xf numFmtId="0" fontId="53" fillId="0" borderId="2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2" xfId="0" applyFill="1" applyBorder="1" applyAlignment="1" applyProtection="1">
      <alignment horizontal="left" vertical="center" wrapText="1" indent="1"/>
      <protection locked="0"/>
    </xf>
    <xf numFmtId="0" fontId="0" fillId="0" borderId="17" xfId="0" applyFill="1" applyBorder="1" applyAlignment="1">
      <alignment horizontal="center" vertical="center"/>
    </xf>
    <xf numFmtId="0" fontId="70" fillId="0" borderId="11" xfId="0" applyFont="1" applyFill="1" applyBorder="1" applyAlignment="1">
      <alignment horizontal="left" vertical="center" indent="5"/>
    </xf>
    <xf numFmtId="0" fontId="25" fillId="0" borderId="11" xfId="0" applyFont="1" applyFill="1" applyBorder="1" applyAlignment="1">
      <alignment horizontal="left" vertical="center" indent="1"/>
    </xf>
    <xf numFmtId="0" fontId="0" fillId="0" borderId="19" xfId="0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 indent="1"/>
    </xf>
    <xf numFmtId="0" fontId="0" fillId="0" borderId="21" xfId="0" applyFill="1" applyBorder="1" applyAlignment="1">
      <alignment horizontal="center" vertical="center"/>
    </xf>
    <xf numFmtId="0" fontId="0" fillId="0" borderId="29" xfId="0" applyFill="1" applyBorder="1" applyAlignment="1">
      <alignment horizontal="left" vertical="center" indent="1"/>
    </xf>
    <xf numFmtId="0" fontId="0" fillId="0" borderId="20" xfId="0" applyFill="1" applyBorder="1" applyAlignment="1">
      <alignment horizontal="center" vertical="center"/>
    </xf>
    <xf numFmtId="0" fontId="0" fillId="0" borderId="13" xfId="0" applyFill="1" applyBorder="1" applyAlignment="1" applyProtection="1">
      <alignment horizontal="left" vertical="center" wrapText="1" indent="1"/>
      <protection locked="0"/>
    </xf>
    <xf numFmtId="0" fontId="70" fillId="0" borderId="29" xfId="0" applyFont="1" applyFill="1" applyBorder="1" applyAlignment="1">
      <alignment horizontal="left" vertical="center" indent="5"/>
    </xf>
    <xf numFmtId="0" fontId="18" fillId="0" borderId="29" xfId="161" applyFont="1" applyFill="1" applyBorder="1" applyAlignment="1" applyProtection="1">
      <alignment horizontal="center" vertical="center" wrapText="1"/>
      <protection locked="0"/>
    </xf>
    <xf numFmtId="0" fontId="27" fillId="0" borderId="22" xfId="161" applyFont="1" applyFill="1" applyBorder="1" applyAlignment="1" applyProtection="1">
      <alignment horizontal="center" vertical="center" wrapText="1"/>
      <protection locked="0"/>
    </xf>
    <xf numFmtId="0" fontId="27" fillId="0" borderId="23" xfId="161" applyFont="1" applyFill="1" applyBorder="1" applyAlignment="1" applyProtection="1">
      <alignment horizontal="center" vertical="center" wrapText="1"/>
      <protection locked="0"/>
    </xf>
    <xf numFmtId="0" fontId="27" fillId="0" borderId="28" xfId="161" applyFont="1" applyFill="1" applyBorder="1" applyAlignment="1" applyProtection="1">
      <alignment horizontal="center" vertical="center" wrapText="1"/>
      <protection locked="0"/>
    </xf>
    <xf numFmtId="166" fontId="18" fillId="0" borderId="64" xfId="0" applyNumberFormat="1" applyFont="1" applyFill="1" applyBorder="1" applyAlignment="1" applyProtection="1">
      <alignment horizontal="center" vertical="center"/>
      <protection locked="0"/>
    </xf>
    <xf numFmtId="166" fontId="18" fillId="0" borderId="29" xfId="0" applyNumberFormat="1" applyFont="1" applyFill="1" applyBorder="1" applyAlignment="1" applyProtection="1">
      <alignment horizontal="center" vertical="center"/>
      <protection locked="0"/>
    </xf>
    <xf numFmtId="166" fontId="18" fillId="0" borderId="58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4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53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53" xfId="0" applyFont="1" applyFill="1" applyBorder="1" applyAlignment="1" applyProtection="1">
      <alignment horizontal="center" vertical="center" wrapText="1"/>
      <protection locked="0"/>
    </xf>
    <xf numFmtId="0" fontId="34" fillId="0" borderId="53" xfId="0" applyFont="1" applyFill="1" applyBorder="1" applyAlignment="1">
      <alignment vertical="center" wrapText="1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18" fillId="0" borderId="28" xfId="0" applyFont="1" applyFill="1" applyBorder="1" applyAlignment="1" applyProtection="1">
      <alignment horizontal="center" vertical="center" wrapText="1"/>
      <protection locked="0"/>
    </xf>
    <xf numFmtId="0" fontId="55" fillId="0" borderId="22" xfId="0" applyFont="1" applyFill="1" applyBorder="1" applyAlignment="1" applyProtection="1">
      <alignment horizontal="center" vertical="center" wrapText="1"/>
      <protection locked="0"/>
    </xf>
    <xf numFmtId="0" fontId="55" fillId="0" borderId="23" xfId="0" applyFont="1" applyFill="1" applyBorder="1" applyAlignment="1" applyProtection="1">
      <alignment horizontal="center" vertical="center" wrapText="1"/>
      <protection locked="0"/>
    </xf>
    <xf numFmtId="0" fontId="55" fillId="0" borderId="28" xfId="0" applyFont="1" applyFill="1" applyBorder="1" applyAlignment="1" applyProtection="1">
      <alignment horizontal="center" vertical="center" wrapText="1"/>
      <protection locked="0"/>
    </xf>
    <xf numFmtId="0" fontId="49" fillId="0" borderId="21" xfId="163" applyFont="1" applyFill="1" applyBorder="1" applyAlignment="1" applyProtection="1">
      <alignment horizontal="center" vertical="center" wrapText="1"/>
      <protection locked="0"/>
    </xf>
    <xf numFmtId="0" fontId="49" fillId="0" borderId="29" xfId="163" applyFont="1" applyFill="1" applyBorder="1" applyAlignment="1" applyProtection="1">
      <alignment horizontal="center" vertical="center" wrapText="1"/>
      <protection locked="0"/>
    </xf>
    <xf numFmtId="0" fontId="25" fillId="0" borderId="0" xfId="162" applyFill="1" applyAlignment="1" applyProtection="1">
      <alignment vertical="center" wrapText="1"/>
      <protection locked="0"/>
    </xf>
    <xf numFmtId="0" fontId="26" fillId="0" borderId="0" xfId="162" applyFont="1" applyFill="1" applyAlignment="1" applyProtection="1">
      <alignment horizontal="center" vertical="center"/>
      <protection locked="0"/>
    </xf>
    <xf numFmtId="0" fontId="25" fillId="0" borderId="0" xfId="162" applyFill="1" applyAlignment="1" applyProtection="1">
      <alignment vertical="center"/>
      <protection locked="0"/>
    </xf>
    <xf numFmtId="49" fontId="27" fillId="0" borderId="21" xfId="162" applyNumberFormat="1" applyFont="1" applyFill="1" applyBorder="1" applyAlignment="1" applyProtection="1">
      <alignment horizontal="center" vertical="center" wrapText="1"/>
      <protection locked="0"/>
    </xf>
    <xf numFmtId="49" fontId="27" fillId="0" borderId="29" xfId="162" applyNumberFormat="1" applyFont="1" applyFill="1" applyBorder="1" applyAlignment="1" applyProtection="1">
      <alignment horizontal="center" vertical="center"/>
      <protection locked="0"/>
    </xf>
    <xf numFmtId="49" fontId="27" fillId="0" borderId="57" xfId="162" applyNumberFormat="1" applyFont="1" applyFill="1" applyBorder="1" applyAlignment="1" applyProtection="1">
      <alignment horizontal="center" vertical="center"/>
      <protection locked="0"/>
    </xf>
    <xf numFmtId="0" fontId="48" fillId="0" borderId="0" xfId="163" applyFill="1" applyAlignment="1"/>
    <xf numFmtId="0" fontId="71" fillId="0" borderId="18" xfId="0" applyFont="1" applyBorder="1" applyAlignment="1" applyProtection="1">
      <alignment horizontal="center" vertical="top" wrapText="1"/>
    </xf>
    <xf numFmtId="0" fontId="71" fillId="0" borderId="17" xfId="0" applyFont="1" applyBorder="1" applyAlignment="1" applyProtection="1">
      <alignment horizontal="center" vertical="top" wrapText="1"/>
    </xf>
    <xf numFmtId="0" fontId="71" fillId="0" borderId="19" xfId="0" applyFont="1" applyBorder="1" applyAlignment="1" applyProtection="1">
      <alignment horizontal="center" vertical="top" wrapText="1"/>
    </xf>
    <xf numFmtId="0" fontId="0" fillId="0" borderId="0" xfId="0" applyProtection="1">
      <protection locked="0"/>
    </xf>
    <xf numFmtId="0" fontId="66" fillId="0" borderId="0" xfId="0" applyFont="1" applyAlignment="1" applyProtection="1">
      <alignment horizontal="center"/>
      <protection locked="0"/>
    </xf>
    <xf numFmtId="0" fontId="67" fillId="0" borderId="22" xfId="0" applyFont="1" applyBorder="1" applyAlignment="1" applyProtection="1">
      <alignment horizontal="center" vertical="center" wrapText="1"/>
      <protection locked="0"/>
    </xf>
    <xf numFmtId="0" fontId="66" fillId="0" borderId="23" xfId="0" applyFont="1" applyBorder="1" applyAlignment="1" applyProtection="1">
      <alignment horizontal="center" vertical="center" wrapText="1"/>
      <protection locked="0"/>
    </xf>
    <xf numFmtId="172" fontId="0" fillId="0" borderId="26" xfId="0" applyNumberFormat="1" applyFont="1" applyFill="1" applyBorder="1" applyAlignment="1" applyProtection="1">
      <alignment horizontal="right" vertical="center"/>
      <protection locked="0"/>
    </xf>
    <xf numFmtId="172" fontId="0" fillId="0" borderId="27" xfId="0" applyNumberFormat="1" applyFont="1" applyFill="1" applyBorder="1" applyAlignment="1" applyProtection="1">
      <alignment horizontal="right" vertical="center"/>
      <protection locked="0"/>
    </xf>
    <xf numFmtId="172" fontId="0" fillId="0" borderId="57" xfId="0" applyNumberFormat="1" applyFont="1" applyFill="1" applyBorder="1" applyAlignment="1" applyProtection="1">
      <alignment horizontal="right" vertical="center"/>
      <protection locked="0"/>
    </xf>
    <xf numFmtId="172" fontId="37" fillId="0" borderId="45" xfId="0" applyNumberFormat="1" applyFont="1" applyFill="1" applyBorder="1" applyAlignment="1" applyProtection="1">
      <alignment horizontal="right" vertical="center"/>
    </xf>
    <xf numFmtId="0" fontId="103" fillId="0" borderId="0" xfId="0" applyFont="1"/>
    <xf numFmtId="0" fontId="103" fillId="0" borderId="0" xfId="0" applyFont="1" applyAlignment="1">
      <alignment horizontal="justify" vertical="top" wrapText="1"/>
    </xf>
    <xf numFmtId="0" fontId="104" fillId="23" borderId="0" xfId="0" applyFont="1" applyFill="1" applyAlignment="1">
      <alignment horizontal="center" vertical="center"/>
    </xf>
    <xf numFmtId="0" fontId="104" fillId="23" borderId="0" xfId="0" applyFont="1" applyFill="1" applyAlignment="1">
      <alignment horizontal="center" vertical="top" wrapText="1"/>
    </xf>
    <xf numFmtId="0" fontId="72" fillId="0" borderId="0" xfId="0" applyFont="1"/>
    <xf numFmtId="0" fontId="101" fillId="0" borderId="0" xfId="112" applyAlignment="1" applyProtection="1"/>
    <xf numFmtId="166" fontId="105" fillId="0" borderId="0" xfId="0" applyNumberFormat="1" applyFont="1" applyFill="1" applyAlignment="1" applyProtection="1">
      <alignment horizontal="right" vertical="center" wrapText="1" indent="1"/>
    </xf>
    <xf numFmtId="166" fontId="106" fillId="0" borderId="0" xfId="161" applyNumberFormat="1" applyFont="1" applyFill="1" applyAlignment="1" applyProtection="1">
      <alignment horizontal="right" vertical="center" indent="1"/>
    </xf>
    <xf numFmtId="0" fontId="37" fillId="0" borderId="43" xfId="0" applyFont="1" applyFill="1" applyBorder="1" applyAlignment="1">
      <alignment horizontal="center" vertical="center" wrapText="1"/>
    </xf>
    <xf numFmtId="0" fontId="31" fillId="0" borderId="70" xfId="0" applyFont="1" applyFill="1" applyBorder="1" applyAlignment="1" applyProtection="1">
      <alignment horizontal="center" vertical="center" wrapText="1"/>
    </xf>
    <xf numFmtId="0" fontId="31" fillId="0" borderId="71" xfId="0" applyFont="1" applyFill="1" applyBorder="1" applyAlignment="1" applyProtection="1">
      <alignment horizontal="center" vertical="center" wrapText="1"/>
    </xf>
    <xf numFmtId="0" fontId="31" fillId="0" borderId="47" xfId="0" applyFont="1" applyFill="1" applyBorder="1" applyAlignment="1" applyProtection="1">
      <alignment horizontal="center" vertical="center" wrapText="1"/>
    </xf>
    <xf numFmtId="0" fontId="34" fillId="0" borderId="43" xfId="0" applyFont="1" applyFill="1" applyBorder="1" applyAlignment="1">
      <alignment horizontal="center" vertical="center"/>
    </xf>
    <xf numFmtId="0" fontId="75" fillId="0" borderId="58" xfId="0" applyFont="1" applyFill="1" applyBorder="1" applyAlignment="1" applyProtection="1">
      <alignment horizontal="center" vertical="center" wrapText="1"/>
    </xf>
    <xf numFmtId="0" fontId="75" fillId="0" borderId="43" xfId="0" applyFont="1" applyFill="1" applyBorder="1" applyAlignment="1" applyProtection="1">
      <alignment horizontal="center" vertical="center" wrapText="1"/>
    </xf>
    <xf numFmtId="0" fontId="75" fillId="0" borderId="34" xfId="0" applyFont="1" applyFill="1" applyBorder="1" applyAlignment="1" applyProtection="1">
      <alignment horizontal="center" vertical="center" wrapText="1"/>
    </xf>
    <xf numFmtId="0" fontId="76" fillId="0" borderId="0" xfId="0" applyFont="1" applyFill="1" applyAlignment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 applyProtection="1">
      <alignment horizontal="center" vertical="center" wrapText="1"/>
    </xf>
    <xf numFmtId="0" fontId="18" fillId="0" borderId="23" xfId="0" applyFont="1" applyFill="1" applyBorder="1" applyAlignment="1" applyProtection="1">
      <alignment horizontal="center" vertical="center" wrapText="1"/>
    </xf>
    <xf numFmtId="0" fontId="18" fillId="0" borderId="28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center" vertical="center" wrapText="1"/>
    </xf>
    <xf numFmtId="166" fontId="28" fillId="0" borderId="12" xfId="0" applyNumberFormat="1" applyFont="1" applyFill="1" applyBorder="1" applyAlignment="1" applyProtection="1">
      <alignment vertical="center" wrapText="1"/>
    </xf>
    <xf numFmtId="0" fontId="28" fillId="0" borderId="17" xfId="0" applyFont="1" applyFill="1" applyBorder="1" applyAlignment="1" applyProtection="1">
      <alignment horizontal="right" vertical="center" wrapText="1" indent="1"/>
    </xf>
    <xf numFmtId="0" fontId="0" fillId="24" borderId="0" xfId="0" applyFill="1" applyAlignment="1" applyProtection="1">
      <alignment horizontal="center"/>
      <protection locked="0"/>
    </xf>
    <xf numFmtId="0" fontId="39" fillId="0" borderId="0" xfId="0" applyFont="1" applyAlignment="1" applyProtection="1">
      <alignment horizontal="center"/>
      <protection locked="0"/>
    </xf>
    <xf numFmtId="172" fontId="37" fillId="0" borderId="67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/>
    <xf numFmtId="0" fontId="107" fillId="0" borderId="0" xfId="0" applyFont="1"/>
    <xf numFmtId="3" fontId="32" fillId="0" borderId="69" xfId="163" applyNumberFormat="1" applyFont="1" applyFill="1" applyBorder="1" applyProtection="1">
      <protection locked="0"/>
    </xf>
    <xf numFmtId="0" fontId="107" fillId="0" borderId="0" xfId="0" applyFont="1" applyProtection="1">
      <protection locked="0"/>
    </xf>
    <xf numFmtId="0" fontId="5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37" fillId="0" borderId="77" xfId="0" applyFont="1" applyBorder="1" applyProtection="1">
      <protection locked="0"/>
    </xf>
    <xf numFmtId="0" fontId="39" fillId="0" borderId="0" xfId="0" applyFont="1" applyProtection="1">
      <protection locked="0"/>
    </xf>
    <xf numFmtId="0" fontId="99" fillId="0" borderId="0" xfId="164" applyFont="1" applyAlignment="1" applyProtection="1">
      <alignment horizontal="right" vertical="top"/>
    </xf>
    <xf numFmtId="0" fontId="102" fillId="0" borderId="0" xfId="157" applyFont="1" applyAlignment="1">
      <alignment horizontal="center" vertical="center"/>
    </xf>
    <xf numFmtId="0" fontId="100" fillId="0" borderId="0" xfId="157" applyAlignment="1">
      <alignment vertical="center"/>
    </xf>
    <xf numFmtId="173" fontId="100" fillId="0" borderId="0" xfId="157" applyNumberFormat="1" applyAlignment="1">
      <alignment vertical="center"/>
    </xf>
    <xf numFmtId="0" fontId="100" fillId="0" borderId="0" xfId="157"/>
    <xf numFmtId="0" fontId="102" fillId="0" borderId="20" xfId="157" applyFont="1" applyBorder="1" applyAlignment="1">
      <alignment horizontal="center" vertical="center"/>
    </xf>
    <xf numFmtId="0" fontId="102" fillId="0" borderId="13" xfId="157" applyFont="1" applyBorder="1" applyAlignment="1">
      <alignment horizontal="center" vertical="center"/>
    </xf>
    <xf numFmtId="173" fontId="102" fillId="0" borderId="13" xfId="157" applyNumberFormat="1" applyFont="1" applyBorder="1" applyAlignment="1">
      <alignment horizontal="center" vertical="center"/>
    </xf>
    <xf numFmtId="173" fontId="102" fillId="0" borderId="0" xfId="157" applyNumberFormat="1" applyFont="1" applyAlignment="1">
      <alignment vertical="center"/>
    </xf>
    <xf numFmtId="0" fontId="28" fillId="0" borderId="18" xfId="161" applyNumberFormat="1" applyFont="1" applyFill="1" applyBorder="1" applyAlignment="1" applyProtection="1">
      <alignment horizontal="center" vertical="center" wrapText="1"/>
    </xf>
    <xf numFmtId="0" fontId="18" fillId="0" borderId="29" xfId="161" applyFont="1" applyFill="1" applyBorder="1" applyAlignment="1" applyProtection="1">
      <alignment horizontal="center" vertical="center" wrapText="1"/>
    </xf>
    <xf numFmtId="166" fontId="28" fillId="0" borderId="20" xfId="0" applyNumberFormat="1" applyFont="1" applyFill="1" applyBorder="1" applyAlignment="1" applyProtection="1">
      <alignment horizontal="left" vertical="center" wrapText="1" indent="1"/>
    </xf>
    <xf numFmtId="166" fontId="28" fillId="0" borderId="67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8" xfId="0" applyNumberFormat="1" applyFont="1" applyFill="1" applyBorder="1" applyAlignment="1" applyProtection="1">
      <alignment horizontal="left" vertical="center" wrapText="1" indent="1"/>
    </xf>
    <xf numFmtId="166" fontId="28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0" xfId="0" applyNumberFormat="1" applyFont="1" applyFill="1" applyBorder="1" applyAlignment="1" applyProtection="1">
      <alignment horizontal="left" vertical="center" wrapText="1" indent="1"/>
    </xf>
    <xf numFmtId="166" fontId="3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>
      <alignment vertical="center" wrapText="1"/>
    </xf>
    <xf numFmtId="166" fontId="28" fillId="0" borderId="0" xfId="0" applyNumberFormat="1" applyFont="1" applyFill="1" applyAlignment="1">
      <alignment vertical="center" wrapText="1"/>
    </xf>
    <xf numFmtId="166" fontId="27" fillId="0" borderId="6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0" applyNumberFormat="1" applyFill="1" applyAlignment="1" applyProtection="1">
      <alignment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27" fillId="0" borderId="22" xfId="0" applyNumberFormat="1" applyFont="1" applyFill="1" applyBorder="1" applyAlignment="1" applyProtection="1">
      <alignment horizontal="center" vertical="center" wrapText="1"/>
      <protection locked="0"/>
    </xf>
    <xf numFmtId="166" fontId="27" fillId="0" borderId="23" xfId="0" applyNumberFormat="1" applyFont="1" applyFill="1" applyBorder="1" applyAlignment="1" applyProtection="1">
      <alignment horizontal="center" vertical="center" wrapText="1"/>
      <protection locked="0"/>
    </xf>
    <xf numFmtId="166" fontId="27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23" xfId="0" applyFont="1" applyFill="1" applyBorder="1" applyAlignment="1" applyProtection="1">
      <alignment horizontal="center" vertical="center"/>
      <protection locked="0"/>
    </xf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0" fontId="36" fillId="0" borderId="28" xfId="0" applyFont="1" applyFill="1" applyBorder="1" applyAlignment="1" applyProtection="1">
      <alignment horizontal="center" vertical="center" wrapText="1"/>
      <protection locked="0"/>
    </xf>
    <xf numFmtId="0" fontId="36" fillId="0" borderId="53" xfId="0" applyFont="1" applyFill="1" applyBorder="1" applyAlignment="1" applyProtection="1">
      <alignment horizontal="center" vertical="center" wrapText="1"/>
      <protection locked="0"/>
    </xf>
    <xf numFmtId="0" fontId="35" fillId="0" borderId="18" xfId="0" applyFont="1" applyFill="1" applyBorder="1" applyAlignment="1">
      <alignment horizontal="right" vertical="center" indent="1"/>
    </xf>
    <xf numFmtId="0" fontId="48" fillId="0" borderId="11" xfId="253" applyFont="1" applyBorder="1" applyAlignment="1" applyProtection="1">
      <alignment horizontal="left" vertical="top" wrapText="1"/>
      <protection locked="0"/>
    </xf>
    <xf numFmtId="0" fontId="48" fillId="0" borderId="11" xfId="253" applyFont="1" applyBorder="1" applyAlignment="1" applyProtection="1">
      <alignment horizontal="right" vertical="top" wrapText="1"/>
      <protection locked="0"/>
    </xf>
    <xf numFmtId="0" fontId="112" fillId="0" borderId="11" xfId="253" applyFont="1" applyBorder="1" applyAlignment="1" applyProtection="1">
      <alignment horizontal="center" vertical="top" wrapText="1"/>
      <protection locked="0"/>
    </xf>
    <xf numFmtId="164" fontId="48" fillId="0" borderId="11" xfId="253" applyNumberFormat="1" applyFont="1" applyBorder="1" applyAlignment="1" applyProtection="1">
      <alignment horizontal="right" vertical="top" wrapText="1"/>
      <protection locked="0"/>
    </xf>
    <xf numFmtId="0" fontId="28" fillId="0" borderId="11" xfId="254" applyFont="1" applyFill="1" applyBorder="1" applyAlignment="1" applyProtection="1">
      <alignment horizontal="left" vertical="center" wrapText="1"/>
      <protection locked="0"/>
    </xf>
    <xf numFmtId="166" fontId="27" fillId="0" borderId="33" xfId="0" applyNumberFormat="1" applyFont="1" applyFill="1" applyBorder="1" applyAlignment="1" applyProtection="1">
      <alignment horizontal="left" vertical="center" wrapText="1" indent="1"/>
    </xf>
    <xf numFmtId="166" fontId="34" fillId="0" borderId="0" xfId="161" applyNumberFormat="1" applyFont="1" applyFill="1" applyBorder="1" applyAlignment="1" applyProtection="1">
      <alignment horizontal="right" vertical="center" wrapText="1" indent="1"/>
    </xf>
    <xf numFmtId="0" fontId="33" fillId="0" borderId="0" xfId="0" applyFont="1" applyBorder="1" applyAlignment="1" applyProtection="1">
      <alignment vertical="center" wrapText="1"/>
    </xf>
    <xf numFmtId="49" fontId="28" fillId="0" borderId="16" xfId="161" applyNumberFormat="1" applyFont="1" applyFill="1" applyBorder="1" applyAlignment="1" applyProtection="1">
      <alignment horizontal="left" vertical="center" wrapText="1" indent="1"/>
    </xf>
    <xf numFmtId="49" fontId="28" fillId="0" borderId="17" xfId="161" applyNumberFormat="1" applyFont="1" applyFill="1" applyBorder="1" applyAlignment="1" applyProtection="1">
      <alignment horizontal="left" vertical="center" wrapText="1" indent="1"/>
    </xf>
    <xf numFmtId="49" fontId="28" fillId="0" borderId="18" xfId="161" applyNumberFormat="1" applyFont="1" applyFill="1" applyBorder="1" applyAlignment="1" applyProtection="1">
      <alignment horizontal="left" vertical="center" wrapText="1" indent="1"/>
    </xf>
    <xf numFmtId="49" fontId="28" fillId="0" borderId="19" xfId="161" applyNumberFormat="1" applyFont="1" applyFill="1" applyBorder="1" applyAlignment="1" applyProtection="1">
      <alignment horizontal="left" vertical="center" wrapText="1" indent="1"/>
    </xf>
    <xf numFmtId="49" fontId="28" fillId="0" borderId="20" xfId="161" applyNumberFormat="1" applyFont="1" applyFill="1" applyBorder="1" applyAlignment="1" applyProtection="1">
      <alignment horizontal="left" vertical="center" wrapText="1" indent="1"/>
    </xf>
    <xf numFmtId="49" fontId="28" fillId="0" borderId="21" xfId="161" applyNumberFormat="1" applyFont="1" applyFill="1" applyBorder="1" applyAlignment="1" applyProtection="1">
      <alignment horizontal="left" vertical="center" wrapText="1" indent="1"/>
    </xf>
    <xf numFmtId="0" fontId="28" fillId="0" borderId="0" xfId="161" applyFont="1" applyFill="1" applyBorder="1" applyAlignment="1" applyProtection="1">
      <alignment horizontal="left" vertical="center" wrapText="1" indent="1"/>
    </xf>
    <xf numFmtId="0" fontId="27" fillId="0" borderId="22" xfId="161" applyFont="1" applyFill="1" applyBorder="1" applyAlignment="1" applyProtection="1">
      <alignment horizontal="left" vertical="center" wrapText="1" indent="1"/>
    </xf>
    <xf numFmtId="0" fontId="27" fillId="0" borderId="23" xfId="161" applyFont="1" applyFill="1" applyBorder="1" applyAlignment="1" applyProtection="1">
      <alignment horizontal="left" vertical="center" wrapText="1" indent="1"/>
    </xf>
    <xf numFmtId="0" fontId="27" fillId="0" borderId="24" xfId="161" applyFont="1" applyFill="1" applyBorder="1" applyAlignment="1" applyProtection="1">
      <alignment horizontal="left" vertical="center" wrapText="1" indent="1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3" xfId="0" applyFont="1" applyBorder="1" applyAlignment="1" applyProtection="1">
      <alignment horizontal="left" vertical="center" wrapText="1" indent="1"/>
    </xf>
    <xf numFmtId="0" fontId="32" fillId="0" borderId="11" xfId="0" applyFont="1" applyBorder="1" applyAlignment="1" applyProtection="1">
      <alignment horizontal="left" vertical="center" wrapText="1" indent="1"/>
    </xf>
    <xf numFmtId="0" fontId="32" fillId="0" borderId="15" xfId="0" applyFont="1" applyBorder="1" applyAlignment="1" applyProtection="1">
      <alignment horizontal="left" vertical="center" wrapText="1" indent="1"/>
    </xf>
    <xf numFmtId="0" fontId="33" fillId="0" borderId="38" xfId="0" applyFont="1" applyBorder="1" applyAlignment="1" applyProtection="1">
      <alignment horizontal="left" vertical="center" wrapText="1" indent="1"/>
    </xf>
    <xf numFmtId="166" fontId="27" fillId="0" borderId="28" xfId="161" applyNumberFormat="1" applyFont="1" applyFill="1" applyBorder="1" applyAlignment="1" applyProtection="1">
      <alignment horizontal="right" vertical="center" wrapText="1" indent="1"/>
    </xf>
    <xf numFmtId="166" fontId="28" fillId="0" borderId="2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67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161" applyNumberFormat="1" applyFont="1" applyFill="1" applyBorder="1" applyAlignment="1" applyProtection="1">
      <alignment horizontal="right" vertical="center" wrapText="1" indent="1"/>
    </xf>
    <xf numFmtId="0" fontId="24" fillId="0" borderId="0" xfId="161" applyFont="1" applyFill="1" applyProtection="1"/>
    <xf numFmtId="0" fontId="32" fillId="0" borderId="12" xfId="0" applyFont="1" applyBorder="1" applyAlignment="1" applyProtection="1">
      <alignment horizontal="left" wrapText="1" indent="1"/>
    </xf>
    <xf numFmtId="0" fontId="32" fillId="0" borderId="11" xfId="0" applyFont="1" applyBorder="1" applyAlignment="1" applyProtection="1">
      <alignment horizontal="left" wrapText="1" indent="1"/>
    </xf>
    <xf numFmtId="0" fontId="32" fillId="0" borderId="15" xfId="0" applyFont="1" applyBorder="1" applyAlignment="1" applyProtection="1">
      <alignment horizontal="left" wrapText="1" indent="1"/>
    </xf>
    <xf numFmtId="0" fontId="32" fillId="0" borderId="18" xfId="0" applyFont="1" applyBorder="1" applyAlignment="1" applyProtection="1">
      <alignment wrapText="1"/>
    </xf>
    <xf numFmtId="0" fontId="32" fillId="0" borderId="17" xfId="0" applyFont="1" applyBorder="1" applyAlignment="1" applyProtection="1">
      <alignment wrapText="1"/>
    </xf>
    <xf numFmtId="0" fontId="32" fillId="0" borderId="19" xfId="0" applyFont="1" applyBorder="1" applyAlignment="1" applyProtection="1">
      <alignment wrapText="1"/>
    </xf>
    <xf numFmtId="0" fontId="33" fillId="0" borderId="23" xfId="0" applyFont="1" applyBorder="1" applyAlignment="1" applyProtection="1">
      <alignment wrapText="1"/>
    </xf>
    <xf numFmtId="0" fontId="33" fillId="0" borderId="32" xfId="0" applyFont="1" applyBorder="1" applyAlignment="1" applyProtection="1">
      <alignment wrapText="1"/>
    </xf>
    <xf numFmtId="0" fontId="27" fillId="0" borderId="22" xfId="161" applyFont="1" applyFill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vertical="center" wrapText="1"/>
    </xf>
    <xf numFmtId="0" fontId="32" fillId="0" borderId="15" xfId="0" applyFont="1" applyBorder="1" applyAlignment="1" applyProtection="1">
      <alignment vertical="center" wrapText="1"/>
    </xf>
    <xf numFmtId="0" fontId="33" fillId="0" borderId="38" xfId="0" applyFont="1" applyBorder="1" applyAlignment="1" applyProtection="1">
      <alignment vertical="center" wrapText="1"/>
    </xf>
    <xf numFmtId="0" fontId="27" fillId="0" borderId="38" xfId="161" applyFont="1" applyFill="1" applyBorder="1" applyAlignment="1" applyProtection="1">
      <alignment horizontal="left" vertical="center" wrapText="1" indent="1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34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34" xfId="0" applyNumberFormat="1" applyFont="1" applyBorder="1" applyAlignment="1" applyProtection="1">
      <alignment horizontal="right" vertical="center" wrapText="1" indent="1"/>
    </xf>
    <xf numFmtId="166" fontId="31" fillId="0" borderId="34" xfId="0" quotePrefix="1" applyNumberFormat="1" applyFont="1" applyBorder="1" applyAlignment="1" applyProtection="1">
      <alignment horizontal="right" vertical="center" wrapText="1" indent="1"/>
    </xf>
    <xf numFmtId="0" fontId="27" fillId="0" borderId="63" xfId="161" applyFont="1" applyFill="1" applyBorder="1" applyAlignment="1" applyProtection="1">
      <alignment vertical="center" wrapText="1"/>
    </xf>
    <xf numFmtId="0" fontId="34" fillId="0" borderId="53" xfId="161" applyFont="1" applyFill="1" applyBorder="1" applyAlignment="1" applyProtection="1">
      <alignment horizontal="left" vertical="center" wrapText="1" indent="1"/>
    </xf>
    <xf numFmtId="0" fontId="31" fillId="0" borderId="63" xfId="0" applyFont="1" applyBorder="1" applyAlignment="1" applyProtection="1">
      <alignment horizontal="left" vertical="center" wrapText="1" indent="1"/>
    </xf>
    <xf numFmtId="0" fontId="32" fillId="0" borderId="39" xfId="0" applyFont="1" applyBorder="1" applyAlignment="1" applyProtection="1">
      <alignment horizontal="left" vertical="center" wrapText="1" indent="1"/>
    </xf>
    <xf numFmtId="0" fontId="32" fillId="0" borderId="66" xfId="0" applyFont="1" applyBorder="1" applyAlignment="1" applyProtection="1">
      <alignment horizontal="left" vertical="center" wrapText="1" indent="1"/>
    </xf>
    <xf numFmtId="0" fontId="27" fillId="0" borderId="81" xfId="161" applyFont="1" applyFill="1" applyBorder="1" applyAlignment="1" applyProtection="1">
      <alignment vertical="center" wrapText="1"/>
    </xf>
    <xf numFmtId="0" fontId="28" fillId="0" borderId="61" xfId="161" applyFont="1" applyFill="1" applyBorder="1" applyAlignment="1" applyProtection="1">
      <alignment horizontal="left" vertical="center" wrapText="1" indent="1"/>
    </xf>
    <xf numFmtId="0" fontId="28" fillId="0" borderId="39" xfId="161" applyFont="1" applyFill="1" applyBorder="1" applyAlignment="1" applyProtection="1">
      <alignment horizontal="left" vertical="center" wrapText="1" indent="1"/>
    </xf>
    <xf numFmtId="0" fontId="28" fillId="0" borderId="66" xfId="161" applyFont="1" applyFill="1" applyBorder="1" applyAlignment="1" applyProtection="1">
      <alignment horizontal="left" vertical="center" wrapText="1" indent="1"/>
    </xf>
    <xf numFmtId="0" fontId="28" fillId="0" borderId="66" xfId="161" applyFont="1" applyFill="1" applyBorder="1" applyAlignment="1" applyProtection="1">
      <alignment horizontal="left" vertical="center" wrapText="1" indent="6"/>
    </xf>
    <xf numFmtId="0" fontId="28" fillId="0" borderId="83" xfId="161" applyFont="1" applyFill="1" applyBorder="1" applyAlignment="1" applyProtection="1">
      <alignment horizontal="left" vertical="center" wrapText="1" indent="1"/>
    </xf>
    <xf numFmtId="0" fontId="28" fillId="0" borderId="64" xfId="161" applyFont="1" applyFill="1" applyBorder="1" applyAlignment="1" applyProtection="1">
      <alignment horizontal="left" vertical="center" wrapText="1" indent="7"/>
    </xf>
    <xf numFmtId="0" fontId="28" fillId="0" borderId="82" xfId="161" applyFont="1" applyFill="1" applyBorder="1" applyAlignment="1" applyProtection="1">
      <alignment horizontal="left" vertical="center" wrapText="1" indent="1"/>
    </xf>
    <xf numFmtId="0" fontId="28" fillId="0" borderId="46" xfId="161" applyFont="1" applyFill="1" applyBorder="1" applyAlignment="1" applyProtection="1">
      <alignment horizontal="left" vertical="center" wrapText="1" indent="1"/>
    </xf>
    <xf numFmtId="0" fontId="28" fillId="0" borderId="82" xfId="161" applyFont="1" applyFill="1" applyBorder="1" applyAlignment="1" applyProtection="1">
      <alignment horizontal="left" vertical="center" wrapText="1" indent="6"/>
    </xf>
    <xf numFmtId="0" fontId="28" fillId="0" borderId="39" xfId="161" applyFont="1" applyFill="1" applyBorder="1" applyAlignment="1" applyProtection="1">
      <alignment horizontal="left" vertical="center" wrapText="1" indent="6"/>
    </xf>
    <xf numFmtId="0" fontId="28" fillId="0" borderId="39" xfId="161" applyFont="1" applyFill="1" applyBorder="1" applyAlignment="1" applyProtection="1">
      <alignment horizontal="left" indent="6"/>
    </xf>
    <xf numFmtId="166" fontId="27" fillId="0" borderId="2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0" fillId="0" borderId="0" xfId="0" applyNumberFormat="1" applyFill="1" applyAlignment="1">
      <alignment vertical="center" wrapText="1"/>
    </xf>
    <xf numFmtId="166" fontId="34" fillId="0" borderId="14" xfId="0" applyNumberFormat="1" applyFont="1" applyFill="1" applyBorder="1" applyAlignment="1" applyProtection="1">
      <alignment horizontal="left" vertical="center" wrapText="1" indent="1"/>
    </xf>
    <xf numFmtId="166" fontId="35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6" fontId="27" fillId="0" borderId="40" xfId="0" applyNumberFormat="1" applyFont="1" applyFill="1" applyBorder="1" applyAlignment="1" applyProtection="1">
      <alignment horizontal="right" vertical="center" wrapText="1" indent="1"/>
    </xf>
    <xf numFmtId="166" fontId="35" fillId="0" borderId="39" xfId="0" applyNumberFormat="1" applyFont="1" applyFill="1" applyBorder="1" applyAlignment="1" applyProtection="1">
      <alignment vertical="center" wrapText="1"/>
    </xf>
    <xf numFmtId="166" fontId="35" fillId="0" borderId="41" xfId="0" applyNumberFormat="1" applyFont="1" applyFill="1" applyBorder="1" applyAlignment="1" applyProtection="1">
      <alignment vertical="center" wrapText="1"/>
    </xf>
    <xf numFmtId="166" fontId="27" fillId="0" borderId="33" xfId="0" applyNumberFormat="1" applyFont="1" applyFill="1" applyBorder="1" applyAlignment="1" applyProtection="1">
      <alignment horizontal="center" vertical="center" wrapText="1"/>
    </xf>
    <xf numFmtId="166" fontId="34" fillId="0" borderId="72" xfId="0" applyNumberFormat="1" applyFont="1" applyFill="1" applyBorder="1" applyAlignment="1" applyProtection="1">
      <alignment horizontal="left" vertical="center" wrapText="1" indent="1"/>
    </xf>
    <xf numFmtId="166" fontId="27" fillId="0" borderId="43" xfId="0" applyNumberFormat="1" applyFont="1" applyFill="1" applyBorder="1" applyAlignment="1" applyProtection="1">
      <alignment horizontal="center" vertical="center" wrapText="1"/>
    </xf>
    <xf numFmtId="0" fontId="28" fillId="0" borderId="64" xfId="161" applyFont="1" applyFill="1" applyBorder="1" applyAlignment="1" applyProtection="1">
      <alignment horizontal="left" vertical="center" wrapText="1" indent="1"/>
    </xf>
    <xf numFmtId="166" fontId="35" fillId="0" borderId="11" xfId="0" applyNumberFormat="1" applyFont="1" applyFill="1" applyBorder="1" applyAlignment="1" applyProtection="1">
      <alignment vertical="center" wrapText="1"/>
    </xf>
    <xf numFmtId="166" fontId="27" fillId="0" borderId="80" xfId="0" applyNumberFormat="1" applyFont="1" applyFill="1" applyBorder="1" applyAlignment="1" applyProtection="1">
      <alignment horizontal="right" vertical="center" wrapText="1" indent="1"/>
    </xf>
    <xf numFmtId="166" fontId="27" fillId="0" borderId="43" xfId="0" applyNumberFormat="1" applyFont="1" applyFill="1" applyBorder="1" applyAlignment="1" applyProtection="1">
      <alignment horizontal="right" vertical="center" wrapText="1" indent="1"/>
    </xf>
    <xf numFmtId="166" fontId="35" fillId="0" borderId="11" xfId="0" applyNumberFormat="1" applyFont="1" applyFill="1" applyBorder="1" applyAlignment="1" applyProtection="1">
      <alignment vertical="center" wrapText="1"/>
      <protection locked="0"/>
    </xf>
    <xf numFmtId="166" fontId="27" fillId="0" borderId="41" xfId="0" applyNumberFormat="1" applyFont="1" applyFill="1" applyBorder="1" applyAlignment="1" applyProtection="1">
      <alignment horizontal="right" vertical="center" wrapText="1" indent="1"/>
    </xf>
    <xf numFmtId="166" fontId="28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3" fontId="35" fillId="0" borderId="41" xfId="0" applyNumberFormat="1" applyFont="1" applyFill="1" applyBorder="1" applyAlignment="1" applyProtection="1">
      <alignment horizontal="right" vertical="center"/>
      <protection locked="0"/>
    </xf>
    <xf numFmtId="166" fontId="35" fillId="0" borderId="39" xfId="0" applyNumberFormat="1" applyFont="1" applyFill="1" applyBorder="1" applyAlignment="1" applyProtection="1">
      <alignment vertical="center" wrapText="1"/>
      <protection locked="0"/>
    </xf>
    <xf numFmtId="166" fontId="35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161" applyNumberFormat="1" applyFont="1" applyFill="1" applyBorder="1" applyAlignment="1" applyProtection="1">
      <alignment horizontal="right" vertical="center" wrapText="1" indent="1"/>
    </xf>
    <xf numFmtId="166" fontId="27" fillId="0" borderId="25" xfId="161" applyNumberFormat="1" applyFont="1" applyFill="1" applyBorder="1" applyAlignment="1" applyProtection="1">
      <alignment horizontal="right" vertical="center" wrapText="1" indent="1"/>
    </xf>
    <xf numFmtId="166" fontId="28" fillId="0" borderId="1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8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9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8" xfId="161" applyNumberFormat="1" applyFont="1" applyFill="1" applyBorder="1" applyAlignment="1" applyProtection="1">
      <alignment horizontal="right" vertical="center" wrapText="1" indent="1"/>
    </xf>
    <xf numFmtId="166" fontId="27" fillId="0" borderId="68" xfId="161" applyNumberFormat="1" applyFont="1" applyFill="1" applyBorder="1" applyAlignment="1" applyProtection="1">
      <alignment horizontal="right" vertical="center" wrapText="1" indent="1"/>
    </xf>
    <xf numFmtId="166" fontId="28" fillId="0" borderId="2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161" applyNumberFormat="1" applyFont="1" applyFill="1" applyBorder="1" applyAlignment="1" applyProtection="1">
      <alignment horizontal="right" vertical="center" wrapText="1" indent="1"/>
    </xf>
    <xf numFmtId="0" fontId="7" fillId="0" borderId="0" xfId="157" applyFont="1" applyAlignment="1">
      <alignment wrapText="1"/>
    </xf>
    <xf numFmtId="173" fontId="100" fillId="0" borderId="0" xfId="157" applyNumberFormat="1"/>
    <xf numFmtId="174" fontId="100" fillId="0" borderId="0" xfId="157" applyNumberFormat="1"/>
    <xf numFmtId="166" fontId="34" fillId="0" borderId="0" xfId="0" applyNumberFormat="1" applyFont="1" applyFill="1" applyAlignment="1">
      <alignment vertical="center" wrapText="1"/>
    </xf>
    <xf numFmtId="3" fontId="32" fillId="0" borderId="11" xfId="163" applyNumberFormat="1" applyFont="1" applyFill="1" applyBorder="1" applyProtection="1">
      <protection locked="0"/>
    </xf>
    <xf numFmtId="3" fontId="32" fillId="0" borderId="26" xfId="163" applyNumberFormat="1" applyFont="1" applyFill="1" applyBorder="1" applyProtection="1">
      <protection locked="0"/>
    </xf>
    <xf numFmtId="171" fontId="27" fillId="0" borderId="28" xfId="317" applyNumberFormat="1" applyFont="1" applyFill="1" applyBorder="1" applyAlignment="1" applyProtection="1">
      <alignment vertical="center"/>
    </xf>
    <xf numFmtId="3" fontId="32" fillId="0" borderId="12" xfId="163" applyNumberFormat="1" applyFont="1" applyFill="1" applyBorder="1" applyProtection="1">
      <protection locked="0"/>
    </xf>
    <xf numFmtId="3" fontId="32" fillId="0" borderId="67" xfId="163" applyNumberFormat="1" applyFont="1" applyFill="1" applyBorder="1" applyProtection="1">
      <protection locked="0"/>
    </xf>
    <xf numFmtId="170" fontId="61" fillId="0" borderId="11" xfId="163" applyNumberFormat="1" applyFont="1" applyFill="1" applyBorder="1" applyAlignment="1" applyProtection="1">
      <alignment horizontal="right" vertical="center" wrapText="1"/>
    </xf>
    <xf numFmtId="170" fontId="61" fillId="0" borderId="13" xfId="163" applyNumberFormat="1" applyFont="1" applyFill="1" applyBorder="1" applyAlignment="1" applyProtection="1">
      <alignment horizontal="right" vertical="center" wrapText="1"/>
      <protection locked="0"/>
    </xf>
    <xf numFmtId="170" fontId="63" fillId="0" borderId="11" xfId="163" applyNumberFormat="1" applyFont="1" applyFill="1" applyBorder="1" applyAlignment="1" applyProtection="1">
      <alignment horizontal="right" vertical="center" wrapText="1"/>
      <protection locked="0"/>
    </xf>
    <xf numFmtId="166" fontId="18" fillId="0" borderId="28" xfId="0" applyNumberFormat="1" applyFont="1" applyFill="1" applyBorder="1" applyAlignment="1" applyProtection="1">
      <alignment vertical="center" wrapText="1"/>
    </xf>
    <xf numFmtId="166" fontId="27" fillId="0" borderId="34" xfId="161" applyNumberFormat="1" applyFont="1" applyFill="1" applyBorder="1" applyAlignment="1" applyProtection="1">
      <alignment horizontal="right" vertical="center" wrapText="1" indent="1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161" applyNumberFormat="1" applyFont="1" applyFill="1" applyBorder="1" applyAlignment="1" applyProtection="1">
      <alignment horizontal="right" vertical="center" wrapText="1" indent="1"/>
    </xf>
    <xf numFmtId="166" fontId="34" fillId="0" borderId="34" xfId="161" applyNumberFormat="1" applyFont="1" applyFill="1" applyBorder="1" applyAlignment="1" applyProtection="1">
      <alignment horizontal="right" vertical="center" wrapText="1" indent="1"/>
    </xf>
    <xf numFmtId="166" fontId="27" fillId="0" borderId="34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47" xfId="161" applyNumberFormat="1" applyFont="1" applyFill="1" applyBorder="1" applyAlignment="1" applyProtection="1">
      <alignment horizontal="right" vertical="center" wrapText="1" indent="1"/>
    </xf>
    <xf numFmtId="166" fontId="28" fillId="0" borderId="48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9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0" xfId="161" applyNumberFormat="1" applyFont="1" applyFill="1" applyBorder="1" applyAlignment="1" applyProtection="1">
      <alignment horizontal="right" vertical="center" wrapText="1" indent="1"/>
    </xf>
    <xf numFmtId="166" fontId="33" fillId="0" borderId="34" xfId="0" applyNumberFormat="1" applyFont="1" applyBorder="1" applyAlignment="1" applyProtection="1">
      <alignment horizontal="right" vertical="center" wrapText="1" indent="1"/>
    </xf>
    <xf numFmtId="166" fontId="33" fillId="0" borderId="34" xfId="0" applyNumberFormat="1" applyFont="1" applyBorder="1" applyAlignment="1" applyProtection="1">
      <alignment horizontal="right" vertical="center" wrapText="1" indent="1"/>
      <protection locked="0"/>
    </xf>
    <xf numFmtId="166" fontId="31" fillId="0" borderId="34" xfId="0" quotePrefix="1" applyNumberFormat="1" applyFont="1" applyBorder="1" applyAlignment="1" applyProtection="1">
      <alignment horizontal="right" vertical="center" wrapText="1" indent="1"/>
    </xf>
    <xf numFmtId="166" fontId="28" fillId="0" borderId="39" xfId="0" applyNumberFormat="1" applyFont="1" applyFill="1" applyBorder="1" applyAlignment="1" applyProtection="1">
      <alignment vertical="center" wrapText="1"/>
      <protection locked="0"/>
    </xf>
    <xf numFmtId="49" fontId="28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15" xfId="0" applyNumberFormat="1" applyFont="1" applyFill="1" applyBorder="1" applyAlignment="1" applyProtection="1">
      <alignment vertical="center" wrapText="1"/>
      <protection locked="0"/>
    </xf>
    <xf numFmtId="166" fontId="28" fillId="0" borderId="26" xfId="0" applyNumberFormat="1" applyFont="1" applyFill="1" applyBorder="1" applyAlignment="1" applyProtection="1">
      <alignment vertical="center" wrapText="1"/>
    </xf>
    <xf numFmtId="166" fontId="27" fillId="0" borderId="23" xfId="0" applyNumberFormat="1" applyFont="1" applyFill="1" applyBorder="1" applyAlignment="1" applyProtection="1">
      <alignment vertical="center" wrapText="1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166" fontId="2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</xf>
    <xf numFmtId="166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0" applyNumberFormat="1" applyFont="1" applyFill="1" applyBorder="1" applyAlignment="1" applyProtection="1">
      <alignment horizontal="right" vertical="center" wrapText="1" indent="1"/>
    </xf>
    <xf numFmtId="166" fontId="34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166" fontId="27" fillId="0" borderId="34" xfId="0" applyNumberFormat="1" applyFont="1" applyFill="1" applyBorder="1" applyAlignment="1" applyProtection="1">
      <alignment horizontal="right" vertical="center" wrapText="1" indent="1"/>
    </xf>
    <xf numFmtId="166" fontId="2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</xf>
    <xf numFmtId="166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0" applyNumberFormat="1" applyFont="1" applyFill="1" applyBorder="1" applyAlignment="1" applyProtection="1">
      <alignment horizontal="right" vertical="center" wrapText="1" indent="1"/>
      <protection locked="0"/>
    </xf>
    <xf numFmtId="4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vertical="center" wrapTex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0" applyNumberFormat="1" applyFont="1" applyFill="1" applyBorder="1" applyAlignment="1" applyProtection="1">
      <alignment horizontal="right" vertical="center" wrapText="1" indent="1"/>
    </xf>
    <xf numFmtId="166" fontId="34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166" fontId="27" fillId="0" borderId="34" xfId="0" applyNumberFormat="1" applyFont="1" applyFill="1" applyBorder="1" applyAlignment="1" applyProtection="1">
      <alignment horizontal="right" vertical="center" wrapText="1" indent="1"/>
    </xf>
    <xf numFmtId="166" fontId="2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4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</xf>
    <xf numFmtId="166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6" xfId="0" applyNumberFormat="1" applyFont="1" applyFill="1" applyBorder="1" applyAlignment="1" applyProtection="1">
      <alignment vertical="center" wrapText="1"/>
      <protection locked="0"/>
    </xf>
    <xf numFmtId="0" fontId="48" fillId="0" borderId="0" xfId="163" applyFill="1" applyAlignment="1" applyProtection="1">
      <alignment vertical="center"/>
    </xf>
    <xf numFmtId="0" fontId="33" fillId="0" borderId="17" xfId="163" applyFont="1" applyFill="1" applyBorder="1" applyAlignment="1" applyProtection="1">
      <alignment vertical="center" wrapText="1"/>
    </xf>
    <xf numFmtId="170" fontId="64" fillId="0" borderId="11" xfId="163" applyNumberFormat="1" applyFont="1" applyFill="1" applyBorder="1" applyAlignment="1" applyProtection="1">
      <alignment horizontal="right" vertical="center" wrapText="1"/>
      <protection locked="0"/>
    </xf>
    <xf numFmtId="170" fontId="64" fillId="0" borderId="11" xfId="163" applyNumberFormat="1" applyFont="1" applyFill="1" applyBorder="1" applyAlignment="1" applyProtection="1">
      <alignment horizontal="right" vertical="center" wrapText="1"/>
    </xf>
    <xf numFmtId="166" fontId="28" fillId="0" borderId="12" xfId="0" applyNumberFormat="1" applyFont="1" applyFill="1" applyBorder="1" applyAlignment="1" applyProtection="1">
      <alignment vertical="center" wrapText="1"/>
      <protection locked="0"/>
    </xf>
    <xf numFmtId="0" fontId="35" fillId="0" borderId="0" xfId="161" applyFont="1" applyFill="1" applyProtection="1"/>
    <xf numFmtId="166" fontId="51" fillId="0" borderId="0" xfId="0" applyNumberFormat="1" applyFont="1" applyFill="1" applyAlignment="1" applyProtection="1">
      <alignment vertical="center" textRotation="180" wrapText="1"/>
      <protection locked="0"/>
    </xf>
    <xf numFmtId="173" fontId="102" fillId="0" borderId="45" xfId="157" applyNumberFormat="1" applyFont="1" applyBorder="1" applyAlignment="1">
      <alignment horizontal="center" vertical="center"/>
    </xf>
    <xf numFmtId="0" fontId="7" fillId="0" borderId="0" xfId="157" applyFont="1" applyAlignment="1">
      <alignment vertical="center" wrapText="1"/>
    </xf>
    <xf numFmtId="0" fontId="102" fillId="0" borderId="13" xfId="157" applyFont="1" applyBorder="1" applyAlignment="1">
      <alignment horizontal="center" vertical="center" wrapText="1"/>
    </xf>
    <xf numFmtId="0" fontId="100" fillId="0" borderId="0" xfId="157" applyAlignment="1">
      <alignment horizontal="left" vertical="center"/>
    </xf>
    <xf numFmtId="0" fontId="100" fillId="0" borderId="0" xfId="157" applyAlignment="1">
      <alignment vertical="center" wrapText="1"/>
    </xf>
    <xf numFmtId="0" fontId="102" fillId="0" borderId="17" xfId="157" applyFont="1" applyFill="1" applyBorder="1" applyAlignment="1">
      <alignment horizontal="center" vertical="center"/>
    </xf>
    <xf numFmtId="0" fontId="102" fillId="0" borderId="21" xfId="157" applyFont="1" applyFill="1" applyBorder="1" applyAlignment="1">
      <alignment horizontal="center" vertical="center"/>
    </xf>
    <xf numFmtId="166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29" xfId="161" applyFont="1" applyFill="1" applyBorder="1" applyAlignment="1" applyProtection="1">
      <alignment horizontal="center" vertical="center" wrapText="1"/>
    </xf>
    <xf numFmtId="166" fontId="28" fillId="0" borderId="64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9" xfId="161" applyNumberFormat="1" applyFont="1" applyFill="1" applyBorder="1" applyAlignment="1" applyProtection="1">
      <alignment horizontal="right" vertical="center" wrapText="1" indent="1"/>
    </xf>
    <xf numFmtId="166" fontId="34" fillId="0" borderId="13" xfId="161" applyNumberFormat="1" applyFont="1" applyFill="1" applyBorder="1" applyAlignment="1" applyProtection="1">
      <alignment horizontal="right" vertical="center" wrapText="1" indent="1"/>
    </xf>
    <xf numFmtId="166" fontId="28" fillId="0" borderId="39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83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2" xfId="161" applyNumberFormat="1" applyFont="1" applyFill="1" applyBorder="1" applyAlignment="1" applyProtection="1">
      <alignment horizontal="right" vertical="center" wrapText="1" indent="1"/>
    </xf>
    <xf numFmtId="166" fontId="35" fillId="0" borderId="29" xfId="161" applyNumberFormat="1" applyFont="1" applyFill="1" applyBorder="1" applyAlignment="1" applyProtection="1">
      <alignment horizontal="right" vertical="center" wrapText="1" indent="1"/>
    </xf>
    <xf numFmtId="166" fontId="34" fillId="0" borderId="25" xfId="0" applyNumberFormat="1" applyFont="1" applyFill="1" applyBorder="1" applyAlignment="1" applyProtection="1">
      <alignment horizontal="center" vertical="center" wrapText="1"/>
      <protection locked="0"/>
    </xf>
    <xf numFmtId="166" fontId="35" fillId="0" borderId="12" xfId="161" applyNumberFormat="1" applyFont="1" applyFill="1" applyBorder="1" applyAlignment="1" applyProtection="1">
      <alignment horizontal="right" vertical="center" wrapText="1" indent="1"/>
    </xf>
    <xf numFmtId="166" fontId="28" fillId="0" borderId="76" xfId="161" applyNumberFormat="1" applyFont="1" applyFill="1" applyBorder="1" applyAlignment="1" applyProtection="1">
      <alignment horizontal="right" vertical="center" wrapText="1" indent="1"/>
      <protection locked="0"/>
    </xf>
    <xf numFmtId="0" fontId="117" fillId="0" borderId="86" xfId="0" applyFont="1" applyFill="1" applyBorder="1" applyAlignment="1">
      <alignment vertical="center" wrapText="1"/>
    </xf>
    <xf numFmtId="166" fontId="28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47" xfId="0" applyNumberFormat="1" applyFont="1" applyFill="1" applyBorder="1" applyAlignment="1" applyProtection="1">
      <alignment horizontal="center" vertical="center" wrapText="1"/>
      <protection locked="0"/>
    </xf>
    <xf numFmtId="166" fontId="31" fillId="0" borderId="56" xfId="0" quotePrefix="1" applyNumberFormat="1" applyFont="1" applyBorder="1" applyAlignment="1" applyProtection="1">
      <alignment horizontal="right" vertical="center" wrapText="1" indent="1"/>
    </xf>
    <xf numFmtId="166" fontId="28" fillId="0" borderId="87" xfId="16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87" xfId="161" applyFont="1" applyFill="1" applyBorder="1" applyAlignment="1" applyProtection="1">
      <alignment horizontal="center" vertical="center" wrapText="1"/>
    </xf>
    <xf numFmtId="166" fontId="35" fillId="0" borderId="13" xfId="161" applyNumberFormat="1" applyFont="1" applyFill="1" applyBorder="1" applyAlignment="1" applyProtection="1">
      <alignment horizontal="right" vertical="center" wrapText="1" indent="1"/>
    </xf>
    <xf numFmtId="166" fontId="34" fillId="0" borderId="53" xfId="161" applyNumberFormat="1" applyFont="1" applyFill="1" applyBorder="1" applyAlignment="1" applyProtection="1">
      <alignment horizontal="right" vertical="center" wrapText="1" indent="1"/>
    </xf>
    <xf numFmtId="166" fontId="27" fillId="0" borderId="81" xfId="161" applyNumberFormat="1" applyFont="1" applyFill="1" applyBorder="1" applyAlignment="1" applyProtection="1">
      <alignment horizontal="right" vertical="center" wrapText="1" indent="1"/>
    </xf>
    <xf numFmtId="0" fontId="18" fillId="0" borderId="49" xfId="161" applyFont="1" applyFill="1" applyBorder="1" applyAlignment="1" applyProtection="1">
      <alignment horizontal="center" vertical="center" wrapText="1"/>
      <protection locked="0"/>
    </xf>
    <xf numFmtId="166" fontId="28" fillId="0" borderId="45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8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161" applyNumberFormat="1" applyFont="1" applyFill="1" applyBorder="1" applyAlignment="1" applyProtection="1">
      <alignment horizontal="right" vertical="center" wrapText="1" indent="1"/>
    </xf>
    <xf numFmtId="166" fontId="28" fillId="0" borderId="6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72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53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3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82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6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88" xfId="161" applyNumberFormat="1" applyFont="1" applyFill="1" applyBorder="1" applyAlignment="1" applyProtection="1">
      <alignment horizontal="right" vertical="center" wrapText="1" indent="1"/>
    </xf>
    <xf numFmtId="166" fontId="33" fillId="0" borderId="56" xfId="0" applyNumberFormat="1" applyFont="1" applyBorder="1" applyAlignment="1" applyProtection="1">
      <alignment horizontal="right" vertical="center" wrapText="1" indent="1"/>
    </xf>
    <xf numFmtId="0" fontId="28" fillId="0" borderId="10" xfId="161" applyFont="1" applyFill="1" applyBorder="1" applyAlignment="1" applyProtection="1">
      <alignment horizontal="left" vertical="center" wrapText="1" indent="1"/>
    </xf>
    <xf numFmtId="0" fontId="28" fillId="0" borderId="11" xfId="161" applyFont="1" applyFill="1" applyBorder="1" applyAlignment="1" applyProtection="1">
      <alignment horizontal="left" vertical="center" wrapText="1" indent="1"/>
    </xf>
    <xf numFmtId="0" fontId="28" fillId="0" borderId="12" xfId="161" applyFont="1" applyFill="1" applyBorder="1" applyAlignment="1" applyProtection="1">
      <alignment horizontal="left" vertical="center" wrapText="1" indent="1"/>
    </xf>
    <xf numFmtId="0" fontId="28" fillId="0" borderId="13" xfId="161" applyFont="1" applyFill="1" applyBorder="1" applyAlignment="1" applyProtection="1">
      <alignment horizontal="left" vertical="center" wrapText="1" indent="1"/>
    </xf>
    <xf numFmtId="0" fontId="28" fillId="0" borderId="14" xfId="161" applyFont="1" applyFill="1" applyBorder="1" applyAlignment="1" applyProtection="1">
      <alignment horizontal="left" vertical="center" wrapText="1" indent="1"/>
    </xf>
    <xf numFmtId="0" fontId="28" fillId="0" borderId="15" xfId="161" applyFont="1" applyFill="1" applyBorder="1" applyAlignment="1" applyProtection="1">
      <alignment horizontal="left" vertical="center" wrapText="1" indent="1"/>
    </xf>
    <xf numFmtId="49" fontId="28" fillId="0" borderId="16" xfId="161" applyNumberFormat="1" applyFont="1" applyFill="1" applyBorder="1" applyAlignment="1" applyProtection="1">
      <alignment horizontal="left" vertical="center" wrapText="1" indent="1"/>
    </xf>
    <xf numFmtId="49" fontId="28" fillId="0" borderId="17" xfId="161" applyNumberFormat="1" applyFont="1" applyFill="1" applyBorder="1" applyAlignment="1" applyProtection="1">
      <alignment horizontal="left" vertical="center" wrapText="1" indent="1"/>
    </xf>
    <xf numFmtId="49" fontId="28" fillId="0" borderId="18" xfId="161" applyNumberFormat="1" applyFont="1" applyFill="1" applyBorder="1" applyAlignment="1" applyProtection="1">
      <alignment horizontal="left" vertical="center" wrapText="1" indent="1"/>
    </xf>
    <xf numFmtId="49" fontId="28" fillId="0" borderId="19" xfId="161" applyNumberFormat="1" applyFont="1" applyFill="1" applyBorder="1" applyAlignment="1" applyProtection="1">
      <alignment horizontal="left" vertical="center" wrapText="1" indent="1"/>
    </xf>
    <xf numFmtId="49" fontId="28" fillId="0" borderId="20" xfId="161" applyNumberFormat="1" applyFont="1" applyFill="1" applyBorder="1" applyAlignment="1" applyProtection="1">
      <alignment horizontal="left" vertical="center" wrapText="1" indent="1"/>
    </xf>
    <xf numFmtId="49" fontId="28" fillId="0" borderId="21" xfId="161" applyNumberFormat="1" applyFont="1" applyFill="1" applyBorder="1" applyAlignment="1" applyProtection="1">
      <alignment horizontal="left" vertical="center" wrapText="1" indent="1"/>
    </xf>
    <xf numFmtId="0" fontId="28" fillId="0" borderId="0" xfId="161" applyFont="1" applyFill="1" applyBorder="1" applyAlignment="1" applyProtection="1">
      <alignment horizontal="left" vertical="center" wrapText="1" indent="1"/>
    </xf>
    <xf numFmtId="0" fontId="27" fillId="0" borderId="22" xfId="161" applyFont="1" applyFill="1" applyBorder="1" applyAlignment="1" applyProtection="1">
      <alignment horizontal="left" vertical="center" wrapText="1" indent="1"/>
    </xf>
    <xf numFmtId="0" fontId="27" fillId="0" borderId="23" xfId="161" applyFont="1" applyFill="1" applyBorder="1" applyAlignment="1" applyProtection="1">
      <alignment horizontal="left" vertical="center" wrapText="1" indent="1"/>
    </xf>
    <xf numFmtId="0" fontId="27" fillId="0" borderId="24" xfId="161" applyFont="1" applyFill="1" applyBorder="1" applyAlignment="1" applyProtection="1">
      <alignment horizontal="left" vertical="center" wrapText="1" indent="1"/>
    </xf>
    <xf numFmtId="0" fontId="27" fillId="0" borderId="25" xfId="161" applyFont="1" applyFill="1" applyBorder="1" applyAlignment="1" applyProtection="1">
      <alignment vertical="center" wrapText="1"/>
    </xf>
    <xf numFmtId="0" fontId="27" fillId="0" borderId="22" xfId="161" applyFont="1" applyFill="1" applyBorder="1" applyAlignment="1" applyProtection="1">
      <alignment horizontal="center" vertical="center" wrapText="1"/>
    </xf>
    <xf numFmtId="0" fontId="27" fillId="0" borderId="23" xfId="161" applyFont="1" applyFill="1" applyBorder="1" applyAlignment="1" applyProtection="1">
      <alignment horizontal="center" vertical="center" wrapText="1"/>
    </xf>
    <xf numFmtId="0" fontId="27" fillId="0" borderId="28" xfId="161" applyFont="1" applyFill="1" applyBorder="1" applyAlignment="1" applyProtection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</xf>
    <xf numFmtId="0" fontId="34" fillId="0" borderId="23" xfId="161" applyFont="1" applyFill="1" applyBorder="1" applyAlignment="1" applyProtection="1">
      <alignment horizontal="left" vertical="center" wrapText="1" indent="1"/>
    </xf>
    <xf numFmtId="0" fontId="28" fillId="0" borderId="11" xfId="161" applyFont="1" applyFill="1" applyBorder="1" applyAlignment="1" applyProtection="1">
      <alignment horizontal="left" indent="6"/>
    </xf>
    <xf numFmtId="0" fontId="28" fillId="0" borderId="11" xfId="161" applyFont="1" applyFill="1" applyBorder="1" applyAlignment="1" applyProtection="1">
      <alignment horizontal="left" vertical="center" wrapText="1" indent="6"/>
    </xf>
    <xf numFmtId="0" fontId="28" fillId="0" borderId="15" xfId="161" applyFont="1" applyFill="1" applyBorder="1" applyAlignment="1" applyProtection="1">
      <alignment horizontal="left" vertical="center" wrapText="1" indent="6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23" xfId="0" applyFont="1" applyBorder="1" applyAlignment="1" applyProtection="1">
      <alignment horizontal="left" vertical="center" wrapText="1" indent="1"/>
    </xf>
    <xf numFmtId="0" fontId="32" fillId="0" borderId="11" xfId="0" applyFont="1" applyBorder="1" applyAlignment="1" applyProtection="1">
      <alignment horizontal="left" vertical="center" wrapText="1" indent="1"/>
    </xf>
    <xf numFmtId="0" fontId="32" fillId="0" borderId="15" xfId="0" applyFont="1" applyBorder="1" applyAlignment="1" applyProtection="1">
      <alignment horizontal="left" vertical="center" wrapText="1" indent="1"/>
    </xf>
    <xf numFmtId="0" fontId="33" fillId="0" borderId="38" xfId="0" applyFont="1" applyBorder="1" applyAlignment="1" applyProtection="1">
      <alignment horizontal="left" vertical="center" wrapText="1" indent="1"/>
    </xf>
    <xf numFmtId="166" fontId="27" fillId="0" borderId="68" xfId="161" applyNumberFormat="1" applyFont="1" applyFill="1" applyBorder="1" applyAlignment="1" applyProtection="1">
      <alignment horizontal="right" vertical="center" wrapText="1" indent="1"/>
    </xf>
    <xf numFmtId="166" fontId="27" fillId="0" borderId="28" xfId="161" applyNumberFormat="1" applyFont="1" applyFill="1" applyBorder="1" applyAlignment="1" applyProtection="1">
      <alignment horizontal="right" vertical="center" wrapText="1" indent="1"/>
    </xf>
    <xf numFmtId="166" fontId="28" fillId="0" borderId="2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6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161" applyNumberFormat="1" applyFont="1" applyFill="1" applyBorder="1" applyAlignment="1" applyProtection="1">
      <alignment horizontal="right" vertical="center" wrapText="1" indent="1"/>
    </xf>
    <xf numFmtId="166" fontId="28" fillId="0" borderId="57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28" xfId="0" applyNumberFormat="1" applyFont="1" applyBorder="1" applyAlignment="1" applyProtection="1">
      <alignment horizontal="right" vertical="center" wrapText="1" indent="1"/>
    </xf>
    <xf numFmtId="0" fontId="31" fillId="0" borderId="32" xfId="0" applyFont="1" applyBorder="1" applyAlignment="1" applyProtection="1">
      <alignment horizontal="left" vertical="center" wrapText="1" indent="1"/>
    </xf>
    <xf numFmtId="0" fontId="27" fillId="0" borderId="24" xfId="161" applyFont="1" applyFill="1" applyBorder="1" applyAlignment="1" applyProtection="1">
      <alignment horizontal="center" vertical="center" wrapText="1"/>
    </xf>
    <xf numFmtId="0" fontId="27" fillId="0" borderId="25" xfId="161" applyFont="1" applyFill="1" applyBorder="1" applyAlignment="1" applyProtection="1">
      <alignment horizontal="center" vertical="center" wrapText="1"/>
    </xf>
    <xf numFmtId="0" fontId="28" fillId="0" borderId="12" xfId="161" applyFont="1" applyFill="1" applyBorder="1" applyAlignment="1" applyProtection="1">
      <alignment horizontal="left" vertical="center" wrapText="1" indent="6"/>
    </xf>
    <xf numFmtId="0" fontId="32" fillId="0" borderId="12" xfId="0" applyFont="1" applyBorder="1" applyAlignment="1" applyProtection="1">
      <alignment horizontal="left" wrapText="1" indent="1"/>
    </xf>
    <xf numFmtId="0" fontId="32" fillId="0" borderId="11" xfId="0" applyFont="1" applyBorder="1" applyAlignment="1" applyProtection="1">
      <alignment horizontal="left" wrapText="1" indent="1"/>
    </xf>
    <xf numFmtId="0" fontId="32" fillId="0" borderId="15" xfId="0" applyFont="1" applyBorder="1" applyAlignment="1" applyProtection="1">
      <alignment horizontal="left" wrapText="1" indent="1"/>
    </xf>
    <xf numFmtId="0" fontId="32" fillId="0" borderId="18" xfId="0" applyFont="1" applyBorder="1" applyAlignment="1" applyProtection="1">
      <alignment wrapText="1"/>
    </xf>
    <xf numFmtId="0" fontId="32" fillId="0" borderId="17" xfId="0" applyFont="1" applyBorder="1" applyAlignment="1" applyProtection="1">
      <alignment wrapText="1"/>
    </xf>
    <xf numFmtId="0" fontId="32" fillId="0" borderId="19" xfId="0" applyFont="1" applyBorder="1" applyAlignment="1" applyProtection="1">
      <alignment wrapText="1"/>
    </xf>
    <xf numFmtId="0" fontId="33" fillId="0" borderId="23" xfId="0" applyFont="1" applyBorder="1" applyAlignment="1" applyProtection="1">
      <alignment wrapText="1"/>
    </xf>
    <xf numFmtId="0" fontId="33" fillId="0" borderId="32" xfId="0" applyFont="1" applyBorder="1" applyAlignment="1" applyProtection="1">
      <alignment wrapText="1"/>
    </xf>
    <xf numFmtId="166" fontId="31" fillId="0" borderId="28" xfId="0" quotePrefix="1" applyNumberFormat="1" applyFont="1" applyBorder="1" applyAlignment="1" applyProtection="1">
      <alignment horizontal="right" vertical="center" wrapText="1" indent="1"/>
    </xf>
    <xf numFmtId="0" fontId="27" fillId="0" borderId="22" xfId="161" applyFont="1" applyFill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vertical="center" wrapText="1"/>
    </xf>
    <xf numFmtId="0" fontId="32" fillId="0" borderId="15" xfId="0" applyFont="1" applyBorder="1" applyAlignment="1" applyProtection="1">
      <alignment vertical="center" wrapText="1"/>
    </xf>
    <xf numFmtId="0" fontId="33" fillId="0" borderId="38" xfId="0" applyFont="1" applyBorder="1" applyAlignment="1" applyProtection="1">
      <alignment vertical="center" wrapText="1"/>
    </xf>
    <xf numFmtId="0" fontId="28" fillId="0" borderId="29" xfId="161" applyFont="1" applyFill="1" applyBorder="1" applyAlignment="1" applyProtection="1">
      <alignment horizontal="left" vertical="center" wrapText="1" indent="7"/>
    </xf>
    <xf numFmtId="0" fontId="27" fillId="0" borderId="38" xfId="161" applyFont="1" applyFill="1" applyBorder="1" applyAlignment="1" applyProtection="1">
      <alignment horizontal="left" vertical="center" wrapText="1" indent="1"/>
    </xf>
    <xf numFmtId="0" fontId="27" fillId="0" borderId="32" xfId="161" applyFont="1" applyFill="1" applyBorder="1" applyAlignment="1" applyProtection="1">
      <alignment vertical="center" wrapText="1"/>
    </xf>
    <xf numFmtId="166" fontId="33" fillId="0" borderId="28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34" xfId="161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53" xfId="161" applyFont="1" applyFill="1" applyBorder="1" applyAlignment="1" applyProtection="1">
      <alignment horizontal="center" vertical="center" wrapText="1"/>
    </xf>
    <xf numFmtId="166" fontId="27" fillId="0" borderId="2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31" fillId="0" borderId="23" xfId="0" quotePrefix="1" applyNumberFormat="1" applyFont="1" applyBorder="1" applyAlignment="1" applyProtection="1">
      <alignment horizontal="right" vertical="center" wrapText="1" indent="1"/>
    </xf>
    <xf numFmtId="166" fontId="36" fillId="0" borderId="28" xfId="0" applyNumberFormat="1" applyFont="1" applyFill="1" applyBorder="1" applyAlignment="1" applyProtection="1">
      <alignment horizontal="right" vertical="center" wrapText="1" indent="1"/>
    </xf>
    <xf numFmtId="166" fontId="0" fillId="0" borderId="80" xfId="0" applyNumberFormat="1" applyFill="1" applyBorder="1" applyAlignment="1" applyProtection="1">
      <alignment horizontal="left" vertical="center" wrapText="1" indent="1"/>
    </xf>
    <xf numFmtId="166" fontId="28" fillId="0" borderId="19" xfId="0" applyNumberFormat="1" applyFont="1" applyFill="1" applyBorder="1" applyAlignment="1" applyProtection="1">
      <alignment horizontal="left" vertical="center" wrapText="1" indent="1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2" xfId="0" applyNumberFormat="1" applyFont="1" applyFill="1" applyBorder="1" applyAlignment="1" applyProtection="1">
      <alignment horizontal="left" vertical="center" wrapText="1" indent="1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0" xfId="0" applyNumberFormat="1" applyFill="1" applyBorder="1" applyAlignment="1" applyProtection="1">
      <alignment horizontal="left" vertical="center" wrapText="1" indent="1"/>
    </xf>
    <xf numFmtId="166" fontId="28" fillId="0" borderId="18" xfId="0" applyNumberFormat="1" applyFont="1" applyFill="1" applyBorder="1" applyAlignment="1" applyProtection="1">
      <alignment horizontal="left" vertical="center" wrapText="1" inden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8" fillId="0" borderId="17" xfId="0" applyNumberFormat="1" applyFont="1" applyFill="1" applyBorder="1" applyAlignment="1" applyProtection="1">
      <alignment horizontal="left" vertical="center" wrapText="1" indent="1"/>
    </xf>
    <xf numFmtId="166" fontId="37" fillId="0" borderId="43" xfId="0" applyNumberFormat="1" applyFont="1" applyFill="1" applyBorder="1" applyAlignment="1" applyProtection="1">
      <alignment horizontal="left" vertical="center" wrapText="1" indent="1"/>
    </xf>
    <xf numFmtId="166" fontId="35" fillId="0" borderId="16" xfId="0" applyNumberFormat="1" applyFont="1" applyFill="1" applyBorder="1" applyAlignment="1" applyProtection="1">
      <alignment horizontal="left" vertical="center" wrapText="1" indent="1"/>
    </xf>
    <xf numFmtId="166" fontId="35" fillId="0" borderId="17" xfId="0" applyNumberFormat="1" applyFont="1" applyFill="1" applyBorder="1" applyAlignment="1" applyProtection="1">
      <alignment horizontal="left" vertical="center" wrapText="1" indent="1"/>
    </xf>
    <xf numFmtId="166" fontId="38" fillId="0" borderId="11" xfId="0" applyNumberFormat="1" applyFont="1" applyFill="1" applyBorder="1" applyAlignment="1" applyProtection="1">
      <alignment horizontal="right" vertical="center" wrapText="1" indent="1"/>
    </xf>
    <xf numFmtId="166" fontId="37" fillId="0" borderId="22" xfId="0" applyNumberFormat="1" applyFont="1" applyFill="1" applyBorder="1" applyAlignment="1" applyProtection="1">
      <alignment horizontal="left" vertical="center" wrapText="1" indent="1"/>
    </xf>
    <xf numFmtId="166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4" xfId="0" applyNumberFormat="1" applyFill="1" applyBorder="1" applyAlignment="1" applyProtection="1">
      <alignment horizontal="left" vertical="center" wrapText="1" indent="1"/>
    </xf>
    <xf numFmtId="166" fontId="28" fillId="0" borderId="16" xfId="0" applyNumberFormat="1" applyFont="1" applyFill="1" applyBorder="1" applyAlignment="1" applyProtection="1">
      <alignment horizontal="left" vertical="center" wrapText="1" indent="1"/>
      <protection locked="0"/>
    </xf>
    <xf numFmtId="166" fontId="38" fillId="0" borderId="10" xfId="0" applyNumberFormat="1" applyFont="1" applyFill="1" applyBorder="1" applyAlignment="1" applyProtection="1">
      <alignment horizontal="right" vertical="center" wrapText="1" indent="1"/>
    </xf>
    <xf numFmtId="166" fontId="36" fillId="0" borderId="34" xfId="0" applyNumberFormat="1" applyFont="1" applyFill="1" applyBorder="1" applyAlignment="1" applyProtection="1">
      <alignment horizontal="right" vertical="center" wrapText="1" indent="1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4" xfId="0" applyNumberFormat="1" applyFont="1" applyFill="1" applyBorder="1" applyAlignment="1" applyProtection="1">
      <alignment horizontal="left" vertical="center" wrapText="1" indent="1"/>
    </xf>
    <xf numFmtId="166" fontId="34" fillId="0" borderId="34" xfId="0" applyNumberFormat="1" applyFont="1" applyFill="1" applyBorder="1" applyAlignment="1" applyProtection="1">
      <alignment horizontal="right" vertical="center" wrapText="1" indent="1"/>
    </xf>
    <xf numFmtId="0" fontId="72" fillId="0" borderId="86" xfId="0" quotePrefix="1" applyFont="1" applyFill="1" applyBorder="1" applyAlignment="1">
      <alignment vertical="center" wrapText="1"/>
    </xf>
    <xf numFmtId="166" fontId="28" fillId="0" borderId="83" xfId="0" applyNumberFormat="1" applyFont="1" applyFill="1" applyBorder="1" applyAlignment="1" applyProtection="1">
      <alignment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117" fillId="0" borderId="17" xfId="0" applyNumberFormat="1" applyFont="1" applyFill="1" applyBorder="1" applyAlignment="1" applyProtection="1">
      <alignment horizontal="right" vertical="center" wrapText="1"/>
      <protection locked="0"/>
    </xf>
    <xf numFmtId="49" fontId="117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72" fillId="0" borderId="17" xfId="0" applyNumberFormat="1" applyFont="1" applyFill="1" applyBorder="1" applyAlignment="1" applyProtection="1">
      <alignment horizontal="right" vertical="center" wrapText="1"/>
      <protection locked="0"/>
    </xf>
    <xf numFmtId="49" fontId="72" fillId="0" borderId="11" xfId="0" applyNumberFormat="1" applyFont="1" applyFill="1" applyBorder="1" applyAlignment="1" applyProtection="1">
      <alignment horizontal="center" vertical="center" wrapText="1"/>
      <protection locked="0"/>
    </xf>
    <xf numFmtId="175" fontId="28" fillId="0" borderId="0" xfId="0" applyNumberFormat="1" applyFont="1" applyFill="1" applyAlignment="1">
      <alignment vertical="center" wrapText="1"/>
    </xf>
    <xf numFmtId="166" fontId="26" fillId="0" borderId="39" xfId="0" applyNumberFormat="1" applyFont="1" applyFill="1" applyBorder="1" applyAlignment="1" applyProtection="1">
      <alignment vertical="center" wrapText="1"/>
      <protection locked="0"/>
    </xf>
    <xf numFmtId="166" fontId="0" fillId="0" borderId="0" xfId="0" applyNumberFormat="1" applyFill="1" applyAlignment="1" applyProtection="1">
      <alignment vertical="center" wrapText="1"/>
      <protection locked="0"/>
    </xf>
    <xf numFmtId="166" fontId="0" fillId="0" borderId="11" xfId="0" applyNumberFormat="1" applyFont="1" applyFill="1" applyBorder="1" applyAlignment="1" applyProtection="1">
      <alignment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122" fillId="0" borderId="23" xfId="0" applyNumberFormat="1" applyFont="1" applyFill="1" applyBorder="1" applyAlignment="1" applyProtection="1">
      <alignment horizontal="center" vertical="center" wrapText="1"/>
    </xf>
    <xf numFmtId="166" fontId="0" fillId="0" borderId="0" xfId="0" applyNumberFormat="1" applyFill="1" applyAlignment="1">
      <alignment vertical="center" wrapText="1"/>
    </xf>
    <xf numFmtId="166" fontId="28" fillId="0" borderId="82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9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83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82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8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5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161" applyNumberFormat="1" applyFont="1" applyFill="1" applyBorder="1" applyAlignment="1" applyProtection="1">
      <alignment horizontal="right" vertical="center" wrapText="1" indent="1"/>
    </xf>
    <xf numFmtId="166" fontId="35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9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3" xfId="161" applyNumberFormat="1" applyFont="1" applyFill="1" applyBorder="1" applyAlignment="1" applyProtection="1">
      <alignment horizontal="right" vertical="center" wrapText="1" indent="1"/>
    </xf>
    <xf numFmtId="166" fontId="28" fillId="0" borderId="30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4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4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33" xfId="0" applyNumberFormat="1" applyFont="1" applyFill="1" applyBorder="1" applyAlignment="1" applyProtection="1">
      <alignment horizontal="right" vertical="center" wrapText="1" indent="1"/>
    </xf>
    <xf numFmtId="166" fontId="2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4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4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0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1" xfId="16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horizontal="left"/>
    </xf>
    <xf numFmtId="166" fontId="28" fillId="0" borderId="12" xfId="0" applyNumberFormat="1" applyFont="1" applyFill="1" applyBorder="1" applyAlignment="1" applyProtection="1">
      <alignment vertical="center" wrapText="1"/>
    </xf>
    <xf numFmtId="166" fontId="3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2" xfId="161" applyNumberFormat="1" applyFont="1" applyFill="1" applyBorder="1" applyAlignment="1" applyProtection="1">
      <alignment horizontal="right" vertical="center" wrapText="1" indent="1"/>
    </xf>
    <xf numFmtId="166" fontId="33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28" fillId="0" borderId="20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4" xfId="161" applyNumberFormat="1" applyFont="1" applyFill="1" applyBorder="1" applyAlignment="1" applyProtection="1">
      <alignment horizontal="right" vertical="center" wrapText="1" indent="1"/>
    </xf>
    <xf numFmtId="166" fontId="28" fillId="0" borderId="21" xfId="161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43" xfId="0" quotePrefix="1" applyNumberFormat="1" applyFont="1" applyBorder="1" applyAlignment="1" applyProtection="1">
      <alignment horizontal="right" vertical="center" wrapText="1" indent="1"/>
    </xf>
    <xf numFmtId="166" fontId="27" fillId="0" borderId="22" xfId="161" applyNumberFormat="1" applyFont="1" applyFill="1" applyBorder="1" applyAlignment="1" applyProtection="1">
      <alignment horizontal="right" vertical="center" wrapText="1" indent="1"/>
    </xf>
    <xf numFmtId="166" fontId="28" fillId="0" borderId="17" xfId="161" applyNumberFormat="1" applyFont="1" applyFill="1" applyBorder="1" applyAlignment="1" applyProtection="1">
      <alignment horizontal="right" vertical="center" wrapText="1" indent="1"/>
      <protection locked="0"/>
    </xf>
    <xf numFmtId="166" fontId="33" fillId="0" borderId="43" xfId="0" applyNumberFormat="1" applyFont="1" applyBorder="1" applyAlignment="1" applyProtection="1">
      <alignment horizontal="right" vertical="center" wrapText="1" indent="1"/>
    </xf>
    <xf numFmtId="166" fontId="28" fillId="0" borderId="19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8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4" xfId="0" applyNumberFormat="1" applyFont="1" applyFill="1" applyBorder="1" applyAlignment="1" applyProtection="1">
      <alignment horizontal="left" vertical="center" wrapText="1" indent="1"/>
    </xf>
    <xf numFmtId="166" fontId="3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4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33" xfId="0" applyNumberFormat="1" applyFont="1" applyFill="1" applyBorder="1" applyAlignment="1" applyProtection="1">
      <alignment horizontal="right" vertical="center" wrapText="1" indent="1"/>
    </xf>
    <xf numFmtId="166" fontId="34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5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16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67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36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73" fontId="123" fillId="0" borderId="59" xfId="664" applyNumberFormat="1" applyFont="1" applyFill="1" applyBorder="1" applyAlignment="1">
      <alignment horizontal="right" vertical="center"/>
    </xf>
    <xf numFmtId="166" fontId="11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57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58" xfId="0" applyFont="1" applyFill="1" applyBorder="1" applyAlignment="1">
      <alignment horizontal="center" vertical="center"/>
    </xf>
    <xf numFmtId="166" fontId="35" fillId="0" borderId="76" xfId="0" applyNumberFormat="1" applyFont="1" applyFill="1" applyBorder="1" applyAlignment="1" applyProtection="1">
      <alignment horizontal="right" vertical="center" wrapText="1" indent="1"/>
      <protection locked="0"/>
    </xf>
    <xf numFmtId="166" fontId="119" fillId="0" borderId="64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166" fontId="119" fillId="0" borderId="46" xfId="0" applyNumberFormat="1" applyFont="1" applyFill="1" applyBorder="1" applyAlignment="1" applyProtection="1">
      <alignment horizontal="right" vertical="center" wrapText="1" indent="1"/>
      <protection locked="0"/>
    </xf>
    <xf numFmtId="49" fontId="123" fillId="0" borderId="38" xfId="499" applyNumberFormat="1" applyFont="1" applyBorder="1" applyAlignment="1">
      <alignment vertical="center"/>
    </xf>
    <xf numFmtId="0" fontId="37" fillId="0" borderId="70" xfId="0" applyFont="1" applyFill="1" applyBorder="1" applyAlignment="1">
      <alignment horizontal="center" vertical="center" wrapText="1"/>
    </xf>
    <xf numFmtId="166" fontId="35" fillId="0" borderId="87" xfId="0" applyNumberFormat="1" applyFont="1" applyFill="1" applyBorder="1" applyAlignment="1" applyProtection="1">
      <alignment horizontal="right" vertical="center" wrapText="1" indent="1"/>
      <protection locked="0"/>
    </xf>
    <xf numFmtId="0" fontId="123" fillId="25" borderId="94" xfId="0" applyFont="1" applyFill="1" applyBorder="1" applyAlignment="1">
      <alignment horizontal="left" vertical="center" wrapText="1"/>
    </xf>
    <xf numFmtId="166" fontId="119" fillId="0" borderId="82" xfId="0" applyNumberFormat="1" applyFont="1" applyFill="1" applyBorder="1" applyAlignment="1" applyProtection="1">
      <alignment horizontal="right" vertical="center" wrapText="1" indent="1"/>
      <protection locked="0"/>
    </xf>
    <xf numFmtId="166" fontId="119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120" fillId="0" borderId="53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56" xfId="0" applyNumberFormat="1" applyFont="1" applyFill="1" applyBorder="1" applyAlignment="1" applyProtection="1">
      <alignment horizontal="right" vertical="center" wrapText="1" indent="1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56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6" xfId="0" applyNumberFormat="1" applyFont="1" applyFill="1" applyBorder="1" applyAlignment="1" applyProtection="1">
      <alignment horizontal="right" vertical="center" wrapText="1" indent="1"/>
    </xf>
    <xf numFmtId="166" fontId="35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166" fontId="121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166" fontId="120" fillId="0" borderId="53" xfId="0" applyNumberFormat="1" applyFont="1" applyFill="1" applyBorder="1" applyAlignment="1" applyProtection="1">
      <alignment horizontal="right" vertical="center" wrapText="1" indent="1"/>
    </xf>
    <xf numFmtId="166" fontId="121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7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Fill="1" applyAlignment="1" applyProtection="1">
      <alignment vertical="center" wrapText="1"/>
    </xf>
    <xf numFmtId="166" fontId="3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67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0" applyNumberFormat="1" applyFont="1" applyFill="1" applyBorder="1" applyAlignment="1" applyProtection="1">
      <alignment horizontal="right" vertical="center" wrapText="1" indent="1"/>
    </xf>
    <xf numFmtId="166" fontId="35" fillId="0" borderId="79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79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8" xfId="0" applyNumberFormat="1" applyFont="1" applyFill="1" applyBorder="1" applyAlignment="1" applyProtection="1">
      <alignment horizontal="right" vertical="center" wrapText="1" indent="1"/>
    </xf>
    <xf numFmtId="166" fontId="35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7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23" xfId="0" applyNumberFormat="1" applyFont="1" applyFill="1" applyBorder="1" applyAlignment="1" applyProtection="1">
      <alignment horizontal="right" vertical="center" wrapText="1" indent="1"/>
    </xf>
    <xf numFmtId="166" fontId="3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Fill="1" applyAlignment="1" applyProtection="1">
      <alignment vertical="center" wrapText="1"/>
    </xf>
    <xf numFmtId="166" fontId="3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/>
    <xf numFmtId="166" fontId="27" fillId="0" borderId="43" xfId="161" applyNumberFormat="1" applyFont="1" applyFill="1" applyBorder="1" applyAlignment="1" applyProtection="1">
      <alignment horizontal="right" vertical="center" wrapText="1" indent="1"/>
    </xf>
    <xf numFmtId="166" fontId="27" fillId="0" borderId="23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2" xfId="161" applyNumberFormat="1" applyFont="1" applyFill="1" applyBorder="1" applyAlignment="1" applyProtection="1">
      <alignment horizontal="right" vertical="center" wrapText="1" indent="1"/>
      <protection locked="0"/>
    </xf>
    <xf numFmtId="166" fontId="28" fillId="0" borderId="11" xfId="16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23" xfId="161" applyNumberFormat="1" applyFont="1" applyFill="1" applyBorder="1" applyAlignment="1" applyProtection="1">
      <alignment horizontal="right" vertical="center" wrapText="1" indent="1"/>
    </xf>
    <xf numFmtId="0" fontId="0" fillId="0" borderId="0" xfId="0" applyFill="1"/>
    <xf numFmtId="0" fontId="125" fillId="0" borderId="23" xfId="499" applyFont="1" applyBorder="1" applyAlignment="1">
      <alignment horizontal="left" vertical="center" wrapText="1"/>
    </xf>
    <xf numFmtId="49" fontId="125" fillId="0" borderId="22" xfId="499" applyNumberFormat="1" applyFont="1" applyBorder="1" applyAlignment="1">
      <alignment horizontal="left" vertical="center" wrapText="1"/>
    </xf>
    <xf numFmtId="0" fontId="125" fillId="0" borderId="56" xfId="451" applyFont="1" applyBorder="1" applyAlignment="1">
      <alignment horizontal="left" vertical="center" wrapText="1"/>
    </xf>
    <xf numFmtId="0" fontId="124" fillId="0" borderId="13" xfId="499" applyFont="1" applyBorder="1" applyAlignment="1">
      <alignment horizontal="left" vertical="center" wrapText="1"/>
    </xf>
    <xf numFmtId="49" fontId="124" fillId="0" borderId="20" xfId="499" applyNumberFormat="1" applyFont="1" applyBorder="1" applyAlignment="1">
      <alignment vertical="center"/>
    </xf>
    <xf numFmtId="49" fontId="124" fillId="0" borderId="17" xfId="499" applyNumberFormat="1" applyFont="1" applyBorder="1" applyAlignment="1">
      <alignment vertical="center"/>
    </xf>
    <xf numFmtId="49" fontId="123" fillId="0" borderId="22" xfId="499" applyNumberFormat="1" applyFont="1" applyBorder="1" applyAlignment="1">
      <alignment vertical="center"/>
    </xf>
    <xf numFmtId="49" fontId="124" fillId="0" borderId="18" xfId="499" applyNumberFormat="1" applyFont="1" applyBorder="1" applyAlignment="1">
      <alignment vertical="center"/>
    </xf>
    <xf numFmtId="49" fontId="124" fillId="0" borderId="19" xfId="499" applyNumberFormat="1" applyFont="1" applyBorder="1" applyAlignment="1">
      <alignment vertical="center"/>
    </xf>
    <xf numFmtId="49" fontId="125" fillId="0" borderId="22" xfId="499" applyNumberFormat="1" applyFont="1" applyBorder="1" applyAlignment="1">
      <alignment vertical="center"/>
    </xf>
    <xf numFmtId="173" fontId="125" fillId="0" borderId="28" xfId="664" applyNumberFormat="1" applyFont="1" applyFill="1" applyBorder="1" applyAlignment="1">
      <alignment horizontal="right" vertical="center"/>
    </xf>
    <xf numFmtId="173" fontId="124" fillId="0" borderId="67" xfId="499" applyNumberFormat="1" applyFont="1" applyFill="1" applyBorder="1" applyAlignment="1">
      <alignment horizontal="right" vertical="center"/>
    </xf>
    <xf numFmtId="173" fontId="124" fillId="0" borderId="27" xfId="499" applyNumberFormat="1" applyFont="1" applyFill="1" applyBorder="1" applyAlignment="1">
      <alignment horizontal="right" vertical="center"/>
    </xf>
    <xf numFmtId="49" fontId="124" fillId="0" borderId="38" xfId="499" applyNumberFormat="1" applyFont="1" applyBorder="1" applyAlignment="1">
      <alignment vertical="center"/>
    </xf>
    <xf numFmtId="49" fontId="125" fillId="0" borderId="22" xfId="499" applyNumberFormat="1" applyFont="1" applyBorder="1" applyAlignment="1">
      <alignment vertical="center" wrapText="1"/>
    </xf>
    <xf numFmtId="0" fontId="123" fillId="0" borderId="23" xfId="499" applyFont="1" applyBorder="1" applyAlignment="1">
      <alignment horizontal="left" vertical="center" wrapText="1"/>
    </xf>
    <xf numFmtId="173" fontId="123" fillId="0" borderId="28" xfId="664" applyNumberFormat="1" applyFont="1" applyFill="1" applyBorder="1" applyAlignment="1">
      <alignment horizontal="right" vertical="center"/>
    </xf>
    <xf numFmtId="0" fontId="124" fillId="0" borderId="12" xfId="499" applyFont="1" applyBorder="1" applyAlignment="1">
      <alignment horizontal="left" vertical="center" wrapText="1"/>
    </xf>
    <xf numFmtId="173" fontId="124" fillId="0" borderId="67" xfId="664" applyNumberFormat="1" applyFont="1" applyFill="1" applyBorder="1" applyAlignment="1">
      <alignment horizontal="right" vertical="center"/>
    </xf>
    <xf numFmtId="0" fontId="124" fillId="0" borderId="11" xfId="489" applyFont="1" applyBorder="1" applyAlignment="1">
      <alignment vertical="center"/>
    </xf>
    <xf numFmtId="49" fontId="124" fillId="0" borderId="16" xfId="499" applyNumberFormat="1" applyFont="1" applyBorder="1" applyAlignment="1">
      <alignment vertical="center"/>
    </xf>
    <xf numFmtId="49" fontId="124" fillId="0" borderId="62" xfId="499" applyNumberFormat="1" applyFont="1" applyBorder="1" applyAlignment="1">
      <alignment vertical="center"/>
    </xf>
    <xf numFmtId="49" fontId="124" fillId="0" borderId="83" xfId="499" applyNumberFormat="1" applyFont="1" applyBorder="1" applyAlignment="1">
      <alignment vertical="center"/>
    </xf>
    <xf numFmtId="49" fontId="123" fillId="0" borderId="56" xfId="499" applyNumberFormat="1" applyFont="1" applyBorder="1" applyAlignment="1">
      <alignment vertical="center"/>
    </xf>
    <xf numFmtId="49" fontId="125" fillId="0" borderId="56" xfId="499" applyNumberFormat="1" applyFont="1" applyBorder="1" applyAlignment="1">
      <alignment vertical="center"/>
    </xf>
    <xf numFmtId="49" fontId="124" fillId="0" borderId="31" xfId="499" applyNumberFormat="1" applyFont="1" applyBorder="1" applyAlignment="1">
      <alignment vertical="center"/>
    </xf>
    <xf numFmtId="49" fontId="125" fillId="0" borderId="56" xfId="499" applyNumberFormat="1" applyFont="1" applyBorder="1" applyAlignment="1">
      <alignment vertical="center" wrapText="1"/>
    </xf>
    <xf numFmtId="0" fontId="124" fillId="0" borderId="32" xfId="489" applyFont="1" applyBorder="1" applyAlignment="1">
      <alignment vertical="center"/>
    </xf>
    <xf numFmtId="0" fontId="125" fillId="0" borderId="23" xfId="451" applyFont="1" applyBorder="1" applyAlignment="1">
      <alignment horizontal="left" vertical="center" wrapText="1"/>
    </xf>
    <xf numFmtId="0" fontId="124" fillId="0" borderId="13" xfId="451" applyFont="1" applyBorder="1" applyAlignment="1">
      <alignment vertical="center"/>
    </xf>
    <xf numFmtId="0" fontId="124" fillId="0" borderId="11" xfId="451" applyFont="1" applyBorder="1" applyAlignment="1">
      <alignment vertical="center"/>
    </xf>
    <xf numFmtId="0" fontId="124" fillId="0" borderId="83" xfId="451" applyFont="1" applyBorder="1" applyAlignment="1">
      <alignment vertical="center"/>
    </xf>
    <xf numFmtId="0" fontId="124" fillId="25" borderId="90" xfId="0" applyFont="1" applyFill="1" applyBorder="1" applyAlignment="1">
      <alignment vertical="center" wrapText="1"/>
    </xf>
    <xf numFmtId="0" fontId="124" fillId="25" borderId="92" xfId="0" applyFont="1" applyFill="1" applyBorder="1" applyAlignment="1">
      <alignment vertical="center" wrapText="1"/>
    </xf>
    <xf numFmtId="0" fontId="124" fillId="25" borderId="91" xfId="0" applyFont="1" applyFill="1" applyBorder="1" applyAlignment="1">
      <alignment vertical="center" wrapText="1"/>
    </xf>
    <xf numFmtId="0" fontId="124" fillId="25" borderId="93" xfId="0" applyFont="1" applyFill="1" applyBorder="1" applyAlignment="1">
      <alignment vertical="center" wrapText="1"/>
    </xf>
    <xf numFmtId="0" fontId="125" fillId="0" borderId="23" xfId="0" applyFont="1" applyBorder="1" applyAlignment="1">
      <alignment vertical="center"/>
    </xf>
    <xf numFmtId="0" fontId="124" fillId="0" borderId="13" xfId="0" applyFont="1" applyBorder="1" applyAlignment="1">
      <alignment vertical="center"/>
    </xf>
    <xf numFmtId="0" fontId="124" fillId="0" borderId="32" xfId="0" applyFont="1" applyBorder="1" applyAlignment="1">
      <alignment vertical="center"/>
    </xf>
    <xf numFmtId="0" fontId="125" fillId="0" borderId="23" xfId="0" applyFont="1" applyBorder="1" applyAlignment="1">
      <alignment vertical="center" wrapText="1"/>
    </xf>
    <xf numFmtId="0" fontId="124" fillId="25" borderId="91" xfId="0" quotePrefix="1" applyNumberFormat="1" applyFont="1" applyFill="1" applyBorder="1" applyAlignment="1">
      <alignment vertical="center" wrapText="1"/>
    </xf>
    <xf numFmtId="0" fontId="123" fillId="25" borderId="23" xfId="0" applyFont="1" applyFill="1" applyBorder="1" applyAlignment="1">
      <alignment vertical="center" wrapText="1"/>
    </xf>
    <xf numFmtId="0" fontId="124" fillId="0" borderId="0" xfId="451" applyFont="1" applyBorder="1" applyAlignment="1">
      <alignment vertical="center"/>
    </xf>
    <xf numFmtId="0" fontId="124" fillId="0" borderId="0" xfId="0" applyFont="1" applyBorder="1" applyAlignment="1">
      <alignment vertical="center"/>
    </xf>
    <xf numFmtId="14" fontId="124" fillId="0" borderId="0" xfId="499" quotePrefix="1" applyNumberFormat="1" applyFont="1" applyBorder="1" applyAlignment="1">
      <alignment vertical="center"/>
    </xf>
    <xf numFmtId="0" fontId="124" fillId="25" borderId="13" xfId="0" applyFont="1" applyFill="1" applyBorder="1" applyAlignment="1">
      <alignment vertical="center" wrapText="1"/>
    </xf>
    <xf numFmtId="0" fontId="124" fillId="0" borderId="61" xfId="451" applyFont="1" applyBorder="1" applyAlignment="1">
      <alignment vertical="center"/>
    </xf>
    <xf numFmtId="0" fontId="124" fillId="0" borderId="39" xfId="451" applyFont="1" applyBorder="1" applyAlignment="1">
      <alignment vertical="center"/>
    </xf>
    <xf numFmtId="173" fontId="124" fillId="0" borderId="26" xfId="664" applyNumberFormat="1" applyFont="1" applyFill="1" applyBorder="1" applyAlignment="1">
      <alignment horizontal="right" vertical="center"/>
    </xf>
    <xf numFmtId="173" fontId="124" fillId="0" borderId="59" xfId="664" applyNumberFormat="1" applyFont="1" applyFill="1" applyBorder="1" applyAlignment="1">
      <alignment horizontal="right" vertical="center"/>
    </xf>
    <xf numFmtId="173" fontId="125" fillId="0" borderId="28" xfId="664" applyNumberFormat="1" applyFont="1" applyFill="1" applyBorder="1" applyAlignment="1">
      <alignment horizontal="right" vertical="center" wrapText="1"/>
    </xf>
    <xf numFmtId="173" fontId="124" fillId="0" borderId="57" xfId="499" applyNumberFormat="1" applyFont="1" applyFill="1" applyBorder="1" applyAlignment="1">
      <alignment horizontal="right" vertical="center"/>
    </xf>
    <xf numFmtId="173" fontId="123" fillId="0" borderId="28" xfId="499" applyNumberFormat="1" applyFont="1" applyFill="1" applyBorder="1" applyAlignment="1">
      <alignment horizontal="right" vertical="center"/>
    </xf>
    <xf numFmtId="0" fontId="124" fillId="0" borderId="11" xfId="499" quotePrefix="1" applyFont="1" applyBorder="1" applyAlignment="1">
      <alignment vertical="center"/>
    </xf>
    <xf numFmtId="0" fontId="124" fillId="25" borderId="11" xfId="0" applyFont="1" applyFill="1" applyBorder="1" applyAlignment="1">
      <alignment horizontal="left" vertical="center" wrapText="1"/>
    </xf>
    <xf numFmtId="173" fontId="124" fillId="0" borderId="26" xfId="499" applyNumberFormat="1" applyFont="1" applyFill="1" applyBorder="1" applyAlignment="1">
      <alignment horizontal="right" vertical="center"/>
    </xf>
    <xf numFmtId="0" fontId="124" fillId="25" borderId="32" xfId="0" applyFont="1" applyFill="1" applyBorder="1" applyAlignment="1">
      <alignment vertical="center" wrapText="1"/>
    </xf>
    <xf numFmtId="0" fontId="124" fillId="0" borderId="11" xfId="451" applyFont="1" applyBorder="1" applyAlignment="1">
      <alignment vertical="center" wrapText="1"/>
    </xf>
    <xf numFmtId="173" fontId="124" fillId="0" borderId="45" xfId="499" applyNumberFormat="1" applyFont="1" applyFill="1" applyBorder="1" applyAlignment="1">
      <alignment horizontal="right" vertical="center"/>
    </xf>
    <xf numFmtId="173" fontId="124" fillId="0" borderId="45" xfId="664" applyNumberFormat="1" applyFont="1" applyFill="1" applyBorder="1" applyAlignment="1">
      <alignment horizontal="right" vertical="center"/>
    </xf>
    <xf numFmtId="173" fontId="124" fillId="0" borderId="59" xfId="499" applyNumberFormat="1" applyFont="1" applyFill="1" applyBorder="1" applyAlignment="1">
      <alignment horizontal="right" vertical="center"/>
    </xf>
    <xf numFmtId="173" fontId="124" fillId="0" borderId="27" xfId="664" applyNumberFormat="1" applyFont="1" applyFill="1" applyBorder="1" applyAlignment="1">
      <alignment horizontal="right" vertical="center"/>
    </xf>
    <xf numFmtId="166" fontId="27" fillId="0" borderId="44" xfId="0" applyNumberFormat="1" applyFont="1" applyFill="1" applyBorder="1" applyAlignment="1" applyProtection="1">
      <alignment horizontal="right" vertical="center" wrapText="1" indent="1"/>
    </xf>
    <xf numFmtId="166" fontId="35" fillId="0" borderId="55" xfId="0" applyNumberFormat="1" applyFont="1" applyFill="1" applyBorder="1" applyAlignment="1" applyProtection="1">
      <alignment horizontal="left" vertical="center" wrapText="1" indent="1"/>
      <protection locked="0"/>
    </xf>
    <xf numFmtId="1" fontId="24" fillId="0" borderId="46" xfId="0" applyNumberFormat="1" applyFont="1" applyFill="1" applyBorder="1" applyAlignment="1" applyProtection="1">
      <alignment horizontal="center" vertical="center" wrapText="1"/>
      <protection locked="0"/>
    </xf>
    <xf numFmtId="166" fontId="35" fillId="0" borderId="10" xfId="0" applyNumberFormat="1" applyFont="1" applyFill="1" applyBorder="1" applyAlignment="1" applyProtection="1">
      <alignment vertical="center" wrapText="1"/>
      <protection locked="0"/>
    </xf>
    <xf numFmtId="166" fontId="35" fillId="0" borderId="46" xfId="0" applyNumberFormat="1" applyFont="1" applyFill="1" applyBorder="1" applyAlignment="1" applyProtection="1">
      <alignment vertical="center" wrapText="1"/>
      <protection locked="0"/>
    </xf>
    <xf numFmtId="166" fontId="35" fillId="0" borderId="44" xfId="0" applyNumberFormat="1" applyFont="1" applyFill="1" applyBorder="1" applyAlignment="1" applyProtection="1">
      <alignment vertical="center" wrapText="1"/>
    </xf>
    <xf numFmtId="3" fontId="35" fillId="26" borderId="65" xfId="0" applyNumberFormat="1" applyFont="1" applyFill="1" applyBorder="1" applyAlignment="1" applyProtection="1">
      <alignment horizontal="right" vertical="center"/>
      <protection locked="0"/>
    </xf>
    <xf numFmtId="0" fontId="35" fillId="0" borderId="0" xfId="0" applyFont="1" applyFill="1" applyBorder="1" applyAlignment="1" applyProtection="1">
      <alignment horizontal="left" vertical="center" indent="1"/>
      <protection locked="0"/>
    </xf>
    <xf numFmtId="3" fontId="35" fillId="26" borderId="41" xfId="0" applyNumberFormat="1" applyFont="1" applyFill="1" applyBorder="1" applyAlignment="1" applyProtection="1">
      <alignment horizontal="right" vertical="center"/>
      <protection locked="0"/>
    </xf>
    <xf numFmtId="173" fontId="35" fillId="0" borderId="0" xfId="0" applyNumberFormat="1" applyFont="1" applyFill="1" applyBorder="1" applyAlignment="1" applyProtection="1">
      <alignment horizontal="right" vertical="center" indent="1"/>
      <protection locked="0"/>
    </xf>
    <xf numFmtId="0" fontId="35" fillId="0" borderId="15" xfId="0" applyFont="1" applyBorder="1" applyAlignment="1" applyProtection="1">
      <alignment horizontal="left" vertical="center" indent="1"/>
      <protection locked="0"/>
    </xf>
    <xf numFmtId="0" fontId="35" fillId="0" borderId="12" xfId="0" applyFont="1" applyBorder="1" applyAlignment="1" applyProtection="1">
      <alignment horizontal="left" vertical="center" indent="1"/>
      <protection locked="0"/>
    </xf>
    <xf numFmtId="0" fontId="35" fillId="0" borderId="10" xfId="0" applyFont="1" applyBorder="1" applyAlignment="1" applyProtection="1">
      <alignment horizontal="left" vertical="center" indent="1"/>
      <protection locked="0"/>
    </xf>
    <xf numFmtId="0" fontId="35" fillId="0" borderId="11" xfId="0" applyFont="1" applyBorder="1" applyAlignment="1" applyProtection="1">
      <alignment horizontal="left" vertical="center" indent="1"/>
      <protection locked="0"/>
    </xf>
    <xf numFmtId="0" fontId="35" fillId="0" borderId="11" xfId="0" applyFont="1" applyBorder="1" applyAlignment="1" applyProtection="1">
      <alignment horizontal="left" vertical="center"/>
      <protection locked="0"/>
    </xf>
    <xf numFmtId="0" fontId="35" fillId="0" borderId="15" xfId="0" applyFont="1" applyBorder="1" applyAlignment="1" applyProtection="1">
      <alignment horizontal="left" vertical="center"/>
      <protection locked="0"/>
    </xf>
    <xf numFmtId="173" fontId="35" fillId="0" borderId="26" xfId="0" applyNumberFormat="1" applyFont="1" applyFill="1" applyBorder="1" applyAlignment="1" applyProtection="1">
      <alignment horizontal="right" vertical="center" indent="1"/>
      <protection locked="0"/>
    </xf>
    <xf numFmtId="0" fontId="35" fillId="0" borderId="13" xfId="0" applyFont="1" applyBorder="1" applyAlignment="1" applyProtection="1">
      <alignment horizontal="left" vertical="center"/>
      <protection locked="0"/>
    </xf>
    <xf numFmtId="0" fontId="35" fillId="0" borderId="25" xfId="0" applyFont="1" applyBorder="1" applyAlignment="1" applyProtection="1">
      <alignment horizontal="left" vertical="center" indent="1"/>
      <protection locked="0"/>
    </xf>
    <xf numFmtId="173" fontId="35" fillId="0" borderId="45" xfId="0" applyNumberFormat="1" applyFont="1" applyFill="1" applyBorder="1" applyAlignment="1" applyProtection="1">
      <alignment horizontal="right" vertical="center" indent="1"/>
      <protection locked="0"/>
    </xf>
    <xf numFmtId="0" fontId="124" fillId="0" borderId="10" xfId="451" applyFont="1" applyBorder="1" applyAlignment="1">
      <alignment vertical="center" wrapText="1"/>
    </xf>
    <xf numFmtId="166" fontId="34" fillId="0" borderId="39" xfId="0" applyNumberFormat="1" applyFont="1" applyFill="1" applyBorder="1" applyAlignment="1" applyProtection="1">
      <alignment vertical="center" wrapText="1"/>
    </xf>
    <xf numFmtId="3" fontId="32" fillId="0" borderId="82" xfId="163" applyNumberFormat="1" applyFont="1" applyFill="1" applyBorder="1" applyProtection="1">
      <protection locked="0"/>
    </xf>
    <xf numFmtId="10" fontId="24" fillId="0" borderId="0" xfId="790" applyNumberFormat="1" applyFont="1" applyFill="1" applyProtection="1"/>
    <xf numFmtId="10" fontId="17" fillId="0" borderId="0" xfId="790" applyNumberFormat="1" applyFont="1" applyFill="1" applyAlignment="1">
      <alignment horizontal="center" vertical="center" wrapText="1"/>
    </xf>
    <xf numFmtId="10" fontId="20" fillId="0" borderId="0" xfId="790" applyNumberFormat="1" applyFont="1" applyFill="1" applyAlignment="1" applyProtection="1">
      <alignment vertical="center" wrapText="1"/>
    </xf>
    <xf numFmtId="166" fontId="34" fillId="0" borderId="10" xfId="0" applyNumberFormat="1" applyFont="1" applyFill="1" applyBorder="1" applyAlignment="1" applyProtection="1">
      <alignment horizontal="right" vertical="center" wrapText="1" indent="1"/>
    </xf>
    <xf numFmtId="166" fontId="34" fillId="0" borderId="52" xfId="0" applyNumberFormat="1" applyFont="1" applyFill="1" applyBorder="1" applyAlignment="1" applyProtection="1">
      <alignment horizontal="right" vertical="center" wrapText="1" indent="1"/>
    </xf>
    <xf numFmtId="10" fontId="14" fillId="0" borderId="0" xfId="790" applyNumberFormat="1" applyFont="1" applyFill="1" applyAlignment="1" applyProtection="1">
      <alignment vertical="center" wrapText="1"/>
    </xf>
    <xf numFmtId="10" fontId="17" fillId="0" borderId="0" xfId="790" applyNumberFormat="1" applyFont="1" applyFill="1" applyAlignment="1" applyProtection="1">
      <alignment vertical="center"/>
    </xf>
    <xf numFmtId="10" fontId="15" fillId="0" borderId="0" xfId="790" applyNumberFormat="1" applyFont="1" applyFill="1" applyAlignment="1" applyProtection="1">
      <alignment vertical="center"/>
    </xf>
    <xf numFmtId="10" fontId="0" fillId="0" borderId="0" xfId="790" applyNumberFormat="1" applyFont="1" applyFill="1" applyAlignment="1" applyProtection="1">
      <alignment vertical="center" wrapText="1"/>
    </xf>
    <xf numFmtId="10" fontId="17" fillId="0" borderId="0" xfId="790" applyNumberFormat="1" applyFont="1" applyFill="1" applyAlignment="1" applyProtection="1">
      <alignment horizontal="center" vertical="center" wrapText="1"/>
    </xf>
    <xf numFmtId="166" fontId="12" fillId="0" borderId="75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18" xfId="301" applyNumberFormat="1" applyFont="1" applyFill="1" applyBorder="1" applyAlignment="1" applyProtection="1">
      <alignment horizontal="right" vertical="center" wrapText="1"/>
      <protection locked="0"/>
    </xf>
    <xf numFmtId="49" fontId="0" fillId="0" borderId="1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86" xfId="161" applyFont="1" applyFill="1" applyBorder="1" applyAlignment="1" applyProtection="1">
      <alignment horizontal="left"/>
      <protection locked="0"/>
    </xf>
    <xf numFmtId="166" fontId="12" fillId="0" borderId="17" xfId="301" applyNumberFormat="1" applyFont="1" applyFill="1" applyBorder="1" applyAlignment="1" applyProtection="1">
      <alignment horizontal="right" vertical="center" wrapText="1"/>
      <protection locked="0"/>
    </xf>
    <xf numFmtId="49" fontId="0" fillId="0" borderId="11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11" xfId="0" applyNumberFormat="1" applyFont="1" applyFill="1" applyBorder="1" applyAlignment="1" applyProtection="1">
      <alignment horizontal="right" vertical="center" wrapText="1"/>
      <protection locked="0"/>
    </xf>
    <xf numFmtId="166" fontId="12" fillId="0" borderId="86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42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84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19" xfId="301" applyNumberFormat="1" applyFont="1" applyFill="1" applyBorder="1" applyAlignment="1" applyProtection="1">
      <alignment horizontal="right" vertical="center" wrapText="1"/>
      <protection locked="0"/>
    </xf>
    <xf numFmtId="49" fontId="0" fillId="0" borderId="15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15" xfId="0" applyNumberFormat="1" applyFont="1" applyFill="1" applyBorder="1" applyAlignment="1" applyProtection="1">
      <alignment horizontal="right" vertical="center" wrapText="1"/>
      <protection locked="0"/>
    </xf>
    <xf numFmtId="166" fontId="28" fillId="0" borderId="10" xfId="0" applyNumberFormat="1" applyFont="1" applyFill="1" applyBorder="1" applyAlignment="1" applyProtection="1">
      <alignment vertical="center" wrapText="1"/>
      <protection locked="0"/>
    </xf>
    <xf numFmtId="49" fontId="28" fillId="0" borderId="15" xfId="0" applyNumberFormat="1" applyFont="1" applyFill="1" applyBorder="1" applyAlignment="1" applyProtection="1">
      <alignment horizontal="center" vertical="center" wrapText="1"/>
      <protection locked="0"/>
    </xf>
    <xf numFmtId="166" fontId="27" fillId="0" borderId="53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82" xfId="0" applyNumberFormat="1" applyFont="1" applyFill="1" applyBorder="1" applyAlignment="1" applyProtection="1">
      <alignment vertical="center" wrapText="1"/>
      <protection locked="0"/>
    </xf>
    <xf numFmtId="166" fontId="28" fillId="0" borderId="67" xfId="0" applyNumberFormat="1" applyFont="1" applyFill="1" applyBorder="1" applyAlignment="1" applyProtection="1">
      <alignment vertical="center" wrapText="1"/>
    </xf>
    <xf numFmtId="166" fontId="115" fillId="0" borderId="58" xfId="0" applyNumberFormat="1" applyFont="1" applyFill="1" applyBorder="1" applyAlignment="1" applyProtection="1">
      <alignment horizontal="left" vertical="center" wrapText="1"/>
      <protection locked="0"/>
    </xf>
    <xf numFmtId="166" fontId="28" fillId="0" borderId="66" xfId="0" applyNumberFormat="1" applyFont="1" applyFill="1" applyBorder="1" applyAlignment="1" applyProtection="1">
      <alignment vertical="center" wrapText="1"/>
      <protection locked="0"/>
    </xf>
    <xf numFmtId="166" fontId="28" fillId="0" borderId="27" xfId="0" applyNumberFormat="1" applyFont="1" applyFill="1" applyBorder="1" applyAlignment="1" applyProtection="1">
      <alignment vertical="center" wrapText="1"/>
    </xf>
    <xf numFmtId="49" fontId="28" fillId="0" borderId="12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22" xfId="0" applyNumberFormat="1" applyFont="1" applyFill="1" applyBorder="1" applyAlignment="1" applyProtection="1">
      <alignment horizontal="left" vertical="center" wrapText="1"/>
      <protection locked="0"/>
    </xf>
    <xf numFmtId="166" fontId="34" fillId="0" borderId="23" xfId="0" applyNumberFormat="1" applyFont="1" applyFill="1" applyBorder="1" applyAlignment="1" applyProtection="1">
      <alignment vertical="center" wrapText="1"/>
      <protection locked="0"/>
    </xf>
    <xf numFmtId="166" fontId="34" fillId="0" borderId="28" xfId="0" applyNumberFormat="1" applyFont="1" applyFill="1" applyBorder="1" applyAlignment="1" applyProtection="1">
      <alignment vertical="center" wrapText="1"/>
      <protection locked="0"/>
    </xf>
    <xf numFmtId="166" fontId="28" fillId="0" borderId="75" xfId="0" applyNumberFormat="1" applyFont="1" applyFill="1" applyBorder="1" applyAlignment="1" applyProtection="1">
      <alignment horizontal="left" vertical="center" wrapText="1"/>
      <protection locked="0"/>
    </xf>
    <xf numFmtId="166" fontId="28" fillId="0" borderId="42" xfId="0" applyNumberFormat="1" applyFont="1" applyFill="1" applyBorder="1" applyAlignment="1" applyProtection="1">
      <alignment horizontal="left" vertical="center" wrapText="1"/>
      <protection locked="0"/>
    </xf>
    <xf numFmtId="166" fontId="28" fillId="0" borderId="84" xfId="0" applyNumberFormat="1" applyFont="1" applyFill="1" applyBorder="1" applyAlignment="1" applyProtection="1">
      <alignment horizontal="left" vertical="center" wrapText="1"/>
      <protection locked="0"/>
    </xf>
    <xf numFmtId="166" fontId="113" fillId="0" borderId="58" xfId="0" applyNumberFormat="1" applyFont="1" applyFill="1" applyBorder="1" applyAlignment="1" applyProtection="1">
      <alignment horizontal="left" vertical="center" wrapText="1"/>
      <protection locked="0"/>
    </xf>
    <xf numFmtId="166" fontId="35" fillId="0" borderId="42" xfId="0" applyNumberFormat="1" applyFont="1" applyFill="1" applyBorder="1" applyAlignment="1" applyProtection="1">
      <alignment horizontal="left" vertical="center" wrapText="1"/>
      <protection locked="0"/>
    </xf>
    <xf numFmtId="166" fontId="28" fillId="0" borderId="86" xfId="0" applyNumberFormat="1" applyFont="1" applyFill="1" applyBorder="1" applyAlignment="1" applyProtection="1">
      <alignment horizontal="left" vertical="center" wrapText="1"/>
      <protection locked="0"/>
    </xf>
    <xf numFmtId="166" fontId="18" fillId="0" borderId="58" xfId="0" applyNumberFormat="1" applyFont="1" applyFill="1" applyBorder="1" applyAlignment="1" applyProtection="1">
      <alignment horizontal="left" vertical="center" wrapText="1"/>
    </xf>
    <xf numFmtId="166" fontId="28" fillId="0" borderId="20" xfId="0" applyNumberFormat="1" applyFont="1" applyFill="1" applyBorder="1" applyAlignment="1" applyProtection="1">
      <alignment vertical="center" wrapText="1"/>
      <protection locked="0"/>
    </xf>
    <xf numFmtId="49" fontId="28" fillId="0" borderId="13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13" xfId="0" applyNumberFormat="1" applyFont="1" applyFill="1" applyBorder="1" applyAlignment="1" applyProtection="1">
      <alignment vertical="center" wrapText="1"/>
      <protection locked="0"/>
    </xf>
    <xf numFmtId="166" fontId="28" fillId="0" borderId="61" xfId="0" applyNumberFormat="1" applyFont="1" applyFill="1" applyBorder="1" applyAlignment="1" applyProtection="1">
      <alignment vertical="center" wrapText="1"/>
      <protection locked="0"/>
    </xf>
    <xf numFmtId="166" fontId="28" fillId="0" borderId="45" xfId="0" applyNumberFormat="1" applyFont="1" applyFill="1" applyBorder="1" applyAlignment="1" applyProtection="1">
      <alignment vertical="center" wrapText="1"/>
    </xf>
    <xf numFmtId="166" fontId="28" fillId="0" borderId="19" xfId="0" applyNumberFormat="1" applyFont="1" applyFill="1" applyBorder="1" applyAlignment="1" applyProtection="1">
      <alignment vertical="center" wrapText="1"/>
      <protection locked="0"/>
    </xf>
    <xf numFmtId="166" fontId="34" fillId="0" borderId="22" xfId="0" applyNumberFormat="1" applyFont="1" applyFill="1" applyBorder="1" applyAlignment="1" applyProtection="1">
      <alignment vertical="center" wrapText="1"/>
      <protection locked="0"/>
    </xf>
    <xf numFmtId="166" fontId="28" fillId="0" borderId="18" xfId="0" applyNumberFormat="1" applyFont="1" applyFill="1" applyBorder="1" applyAlignment="1" applyProtection="1">
      <alignment vertical="center" wrapText="1"/>
      <protection locked="0"/>
    </xf>
    <xf numFmtId="166" fontId="27" fillId="0" borderId="22" xfId="0" applyNumberFormat="1" applyFont="1" applyFill="1" applyBorder="1" applyAlignment="1" applyProtection="1">
      <alignment vertical="center" wrapText="1"/>
    </xf>
    <xf numFmtId="166" fontId="28" fillId="0" borderId="16" xfId="0" applyNumberFormat="1" applyFont="1" applyFill="1" applyBorder="1" applyAlignment="1" applyProtection="1">
      <alignment vertical="center" wrapText="1"/>
      <protection locked="0"/>
    </xf>
    <xf numFmtId="49" fontId="28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46" xfId="0" applyNumberFormat="1" applyFont="1" applyFill="1" applyBorder="1" applyAlignment="1" applyProtection="1">
      <alignment vertical="center" wrapText="1"/>
      <protection locked="0"/>
    </xf>
    <xf numFmtId="166" fontId="28" fillId="0" borderId="79" xfId="0" applyNumberFormat="1" applyFont="1" applyFill="1" applyBorder="1" applyAlignment="1" applyProtection="1">
      <alignment vertical="center" wrapText="1"/>
    </xf>
    <xf numFmtId="0" fontId="72" fillId="0" borderId="84" xfId="0" quotePrefix="1" applyFont="1" applyFill="1" applyBorder="1" applyAlignment="1">
      <alignment vertical="center" wrapText="1"/>
    </xf>
    <xf numFmtId="166" fontId="72" fillId="0" borderId="19" xfId="0" applyNumberFormat="1" applyFont="1" applyFill="1" applyBorder="1" applyAlignment="1" applyProtection="1">
      <alignment horizontal="right" vertical="center" wrapText="1"/>
      <protection locked="0"/>
    </xf>
    <xf numFmtId="49" fontId="72" fillId="0" borderId="15" xfId="0" applyNumberFormat="1" applyFont="1" applyFill="1" applyBorder="1" applyAlignment="1" applyProtection="1">
      <alignment horizontal="center" vertical="center" wrapText="1"/>
      <protection locked="0"/>
    </xf>
    <xf numFmtId="166" fontId="12" fillId="0" borderId="17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11" xfId="301" applyNumberFormat="1" applyFont="1" applyFill="1" applyBorder="1" applyAlignment="1" applyProtection="1">
      <alignment vertical="center" wrapText="1"/>
      <protection locked="0"/>
    </xf>
    <xf numFmtId="0" fontId="12" fillId="0" borderId="17" xfId="512" applyNumberFormat="1" applyFont="1" applyFill="1" applyBorder="1" applyAlignment="1" applyProtection="1">
      <alignment vertical="center" wrapText="1"/>
      <protection locked="0"/>
    </xf>
    <xf numFmtId="0" fontId="12" fillId="0" borderId="16" xfId="512" applyNumberFormat="1" applyFont="1" applyFill="1" applyBorder="1" applyAlignment="1" applyProtection="1">
      <alignment vertical="center" wrapText="1"/>
      <protection locked="0"/>
    </xf>
    <xf numFmtId="0" fontId="72" fillId="0" borderId="17" xfId="0" applyFont="1" applyFill="1" applyBorder="1" applyAlignment="1">
      <alignment wrapText="1"/>
    </xf>
    <xf numFmtId="166" fontId="18" fillId="0" borderId="23" xfId="0" applyNumberFormat="1" applyFont="1" applyFill="1" applyBorder="1" applyAlignment="1" applyProtection="1">
      <alignment vertical="center" wrapText="1"/>
    </xf>
    <xf numFmtId="166" fontId="12" fillId="0" borderId="18" xfId="301" applyNumberFormat="1" applyFont="1" applyFill="1" applyBorder="1" applyAlignment="1" applyProtection="1">
      <alignment horizontal="left" vertical="center" wrapText="1"/>
      <protection locked="0"/>
    </xf>
    <xf numFmtId="166" fontId="12" fillId="0" borderId="12" xfId="301" applyNumberFormat="1" applyFont="1" applyFill="1" applyBorder="1" applyAlignment="1" applyProtection="1">
      <alignment vertical="center" wrapText="1"/>
      <protection locked="0"/>
    </xf>
    <xf numFmtId="166" fontId="0" fillId="0" borderId="12" xfId="0" applyNumberFormat="1" applyFont="1" applyFill="1" applyBorder="1" applyAlignment="1" applyProtection="1">
      <alignment vertical="center" wrapText="1"/>
      <protection locked="0"/>
    </xf>
    <xf numFmtId="166" fontId="26" fillId="0" borderId="12" xfId="0" applyNumberFormat="1" applyFont="1" applyFill="1" applyBorder="1" applyAlignment="1" applyProtection="1">
      <alignment vertical="center" wrapText="1"/>
      <protection locked="0"/>
    </xf>
    <xf numFmtId="166" fontId="26" fillId="0" borderId="82" xfId="0" applyNumberFormat="1" applyFont="1" applyFill="1" applyBorder="1" applyAlignment="1" applyProtection="1">
      <alignment vertical="center" wrapText="1"/>
      <protection locked="0"/>
    </xf>
    <xf numFmtId="166" fontId="26" fillId="0" borderId="67" xfId="0" applyNumberFormat="1" applyFont="1" applyFill="1" applyBorder="1" applyAlignment="1" applyProtection="1">
      <alignment vertical="center" wrapText="1"/>
    </xf>
    <xf numFmtId="166" fontId="36" fillId="0" borderId="58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23" xfId="0" applyNumberFormat="1" applyFont="1" applyFill="1" applyBorder="1" applyAlignment="1" applyProtection="1">
      <alignment vertical="center" wrapText="1"/>
      <protection locked="0"/>
    </xf>
    <xf numFmtId="166" fontId="36" fillId="0" borderId="53" xfId="0" applyNumberFormat="1" applyFont="1" applyFill="1" applyBorder="1" applyAlignment="1" applyProtection="1">
      <alignment vertical="center" wrapText="1"/>
      <protection locked="0"/>
    </xf>
    <xf numFmtId="166" fontId="36" fillId="0" borderId="56" xfId="0" applyNumberFormat="1" applyFont="1" applyFill="1" applyBorder="1" applyAlignment="1" applyProtection="1">
      <alignment vertical="center" wrapText="1"/>
      <protection locked="0"/>
    </xf>
    <xf numFmtId="166" fontId="36" fillId="0" borderId="34" xfId="0" applyNumberFormat="1" applyFont="1" applyFill="1" applyBorder="1" applyAlignment="1" applyProtection="1">
      <alignment vertical="center" wrapText="1"/>
      <protection locked="0"/>
    </xf>
    <xf numFmtId="0" fontId="72" fillId="0" borderId="19" xfId="0" applyFont="1" applyFill="1" applyBorder="1" applyAlignment="1">
      <alignment wrapText="1"/>
    </xf>
    <xf numFmtId="166" fontId="12" fillId="0" borderId="15" xfId="301" applyNumberFormat="1" applyFont="1" applyFill="1" applyBorder="1" applyAlignment="1" applyProtection="1">
      <alignment vertical="center" wrapText="1"/>
      <protection locked="0"/>
    </xf>
    <xf numFmtId="166" fontId="0" fillId="0" borderId="15" xfId="0" applyNumberFormat="1" applyFont="1" applyFill="1" applyBorder="1" applyAlignment="1" applyProtection="1">
      <alignment vertical="center" wrapText="1"/>
      <protection locked="0"/>
    </xf>
    <xf numFmtId="166" fontId="26" fillId="0" borderId="15" xfId="0" applyNumberFormat="1" applyFont="1" applyFill="1" applyBorder="1" applyAlignment="1" applyProtection="1">
      <alignment vertical="center" wrapText="1"/>
      <protection locked="0"/>
    </xf>
    <xf numFmtId="166" fontId="26" fillId="0" borderId="66" xfId="0" applyNumberFormat="1" applyFont="1" applyFill="1" applyBorder="1" applyAlignment="1" applyProtection="1">
      <alignment vertical="center" wrapText="1"/>
      <protection locked="0"/>
    </xf>
    <xf numFmtId="166" fontId="26" fillId="0" borderId="27" xfId="0" applyNumberFormat="1" applyFont="1" applyFill="1" applyBorder="1" applyAlignment="1" applyProtection="1">
      <alignment vertical="center" wrapText="1"/>
    </xf>
    <xf numFmtId="166" fontId="26" fillId="0" borderId="18" xfId="0" applyNumberFormat="1" applyFont="1" applyFill="1" applyBorder="1" applyAlignment="1" applyProtection="1">
      <alignment horizontal="left" vertical="center" wrapText="1" indent="1"/>
      <protection locked="0"/>
    </xf>
    <xf numFmtId="166" fontId="114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28" xfId="0" applyNumberFormat="1" applyFont="1" applyFill="1" applyBorder="1" applyAlignment="1" applyProtection="1">
      <alignment vertical="center" wrapText="1"/>
      <protection locked="0"/>
    </xf>
    <xf numFmtId="166" fontId="26" fillId="0" borderId="16" xfId="0" applyNumberFormat="1" applyFont="1" applyFill="1" applyBorder="1" applyAlignment="1" applyProtection="1">
      <alignment horizontal="left" vertical="center" wrapText="1" indent="1"/>
      <protection locked="0"/>
    </xf>
    <xf numFmtId="166" fontId="12" fillId="0" borderId="10" xfId="301" applyNumberFormat="1" applyFont="1" applyFill="1" applyBorder="1" applyAlignment="1" applyProtection="1">
      <alignment vertical="center" wrapText="1"/>
      <protection locked="0"/>
    </xf>
    <xf numFmtId="49" fontId="0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26" fillId="0" borderId="10" xfId="0" applyNumberFormat="1" applyFont="1" applyFill="1" applyBorder="1" applyAlignment="1" applyProtection="1">
      <alignment vertical="center" wrapText="1"/>
      <protection locked="0"/>
    </xf>
    <xf numFmtId="166" fontId="26" fillId="0" borderId="46" xfId="0" applyNumberFormat="1" applyFont="1" applyFill="1" applyBorder="1" applyAlignment="1" applyProtection="1">
      <alignment vertical="center" wrapText="1"/>
      <protection locked="0"/>
    </xf>
    <xf numFmtId="166" fontId="26" fillId="0" borderId="79" xfId="0" applyNumberFormat="1" applyFont="1" applyFill="1" applyBorder="1" applyAlignment="1" applyProtection="1">
      <alignment vertical="center" wrapText="1"/>
    </xf>
    <xf numFmtId="49" fontId="26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100" fillId="0" borderId="11" xfId="157" applyNumberFormat="1" applyFill="1" applyBorder="1" applyAlignment="1">
      <alignment horizontal="center" vertical="center"/>
    </xf>
    <xf numFmtId="173" fontId="100" fillId="0" borderId="11" xfId="157" applyNumberFormat="1" applyFill="1" applyBorder="1" applyAlignment="1">
      <alignment vertical="center"/>
    </xf>
    <xf numFmtId="173" fontId="100" fillId="0" borderId="11" xfId="157" applyNumberFormat="1" applyFill="1" applyBorder="1" applyAlignment="1">
      <alignment horizontal="center" vertical="center"/>
    </xf>
    <xf numFmtId="14" fontId="3" fillId="0" borderId="11" xfId="554" applyNumberFormat="1" applyFill="1" applyBorder="1" applyAlignment="1">
      <alignment horizontal="center" vertical="center"/>
    </xf>
    <xf numFmtId="173" fontId="3" fillId="0" borderId="11" xfId="718" applyNumberFormat="1" applyFill="1" applyBorder="1" applyAlignment="1">
      <alignment vertical="center"/>
    </xf>
    <xf numFmtId="173" fontId="3" fillId="0" borderId="11" xfId="718" applyNumberFormat="1" applyFill="1" applyBorder="1" applyAlignment="1">
      <alignment horizontal="center" vertical="center"/>
    </xf>
    <xf numFmtId="173" fontId="100" fillId="0" borderId="11" xfId="157" applyNumberFormat="1" applyFill="1" applyBorder="1" applyAlignment="1">
      <alignment horizontal="right" vertical="center"/>
    </xf>
    <xf numFmtId="173" fontId="5" fillId="0" borderId="11" xfId="414" applyNumberFormat="1" applyFill="1" applyBorder="1" applyAlignment="1">
      <alignment vertical="center"/>
    </xf>
    <xf numFmtId="173" fontId="5" fillId="0" borderId="11" xfId="414" applyNumberFormat="1" applyFill="1" applyBorder="1" applyAlignment="1">
      <alignment horizontal="center" vertical="center"/>
    </xf>
    <xf numFmtId="173" fontId="5" fillId="0" borderId="11" xfId="370" applyNumberFormat="1" applyFont="1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3" fontId="0" fillId="0" borderId="11" xfId="0" applyNumberFormat="1" applyFill="1" applyBorder="1" applyAlignment="1">
      <alignment vertical="center" wrapText="1"/>
    </xf>
    <xf numFmtId="0" fontId="100" fillId="0" borderId="39" xfId="157" applyFill="1" applyBorder="1" applyAlignment="1">
      <alignment horizontal="left" vertical="center"/>
    </xf>
    <xf numFmtId="0" fontId="3" fillId="0" borderId="39" xfId="718" applyFill="1" applyBorder="1" applyAlignment="1">
      <alignment horizontal="left" vertical="center"/>
    </xf>
    <xf numFmtId="0" fontId="5" fillId="0" borderId="39" xfId="157" applyFont="1" applyFill="1" applyBorder="1" applyAlignment="1">
      <alignment horizontal="left" vertical="center"/>
    </xf>
    <xf numFmtId="0" fontId="5" fillId="0" borderId="39" xfId="414" applyFill="1" applyBorder="1" applyAlignment="1">
      <alignment horizontal="left" vertical="center"/>
    </xf>
    <xf numFmtId="0" fontId="3" fillId="0" borderId="39" xfId="157" applyFont="1" applyBorder="1" applyAlignment="1">
      <alignment horizontal="left" vertical="center"/>
    </xf>
    <xf numFmtId="0" fontId="100" fillId="0" borderId="39" xfId="157" applyBorder="1" applyAlignment="1">
      <alignment horizontal="left" vertical="center"/>
    </xf>
    <xf numFmtId="0" fontId="3" fillId="0" borderId="64" xfId="157" applyFont="1" applyBorder="1" applyAlignment="1">
      <alignment horizontal="left" vertical="center"/>
    </xf>
    <xf numFmtId="173" fontId="102" fillId="0" borderId="15" xfId="157" applyNumberFormat="1" applyFont="1" applyBorder="1" applyAlignment="1">
      <alignment horizontal="center" vertical="center" wrapText="1"/>
    </xf>
    <xf numFmtId="173" fontId="102" fillId="0" borderId="15" xfId="157" applyNumberFormat="1" applyFont="1" applyFill="1" applyBorder="1" applyAlignment="1">
      <alignment horizontal="center" vertical="center" wrapText="1"/>
    </xf>
    <xf numFmtId="0" fontId="100" fillId="0" borderId="20" xfId="157" applyFill="1" applyBorder="1" applyAlignment="1">
      <alignment vertical="center" wrapText="1"/>
    </xf>
    <xf numFmtId="14" fontId="100" fillId="0" borderId="13" xfId="157" applyNumberFormat="1" applyFill="1" applyBorder="1" applyAlignment="1">
      <alignment horizontal="center" vertical="center"/>
    </xf>
    <xf numFmtId="173" fontId="100" fillId="0" borderId="13" xfId="157" applyNumberFormat="1" applyFill="1" applyBorder="1" applyAlignment="1">
      <alignment vertical="center"/>
    </xf>
    <xf numFmtId="173" fontId="100" fillId="0" borderId="13" xfId="157" applyNumberFormat="1" applyFill="1" applyBorder="1" applyAlignment="1">
      <alignment horizontal="center" vertical="center"/>
    </xf>
    <xf numFmtId="173" fontId="100" fillId="0" borderId="45" xfId="157" applyNumberFormat="1" applyFill="1" applyBorder="1" applyAlignment="1">
      <alignment vertical="center"/>
    </xf>
    <xf numFmtId="0" fontId="100" fillId="0" borderId="17" xfId="157" applyFill="1" applyBorder="1" applyAlignment="1">
      <alignment vertical="center" wrapText="1"/>
    </xf>
    <xf numFmtId="173" fontId="100" fillId="0" borderId="26" xfId="157" applyNumberFormat="1" applyFill="1" applyBorder="1" applyAlignment="1">
      <alignment vertical="center"/>
    </xf>
    <xf numFmtId="0" fontId="3" fillId="0" borderId="17" xfId="718" applyFill="1" applyBorder="1" applyAlignment="1">
      <alignment vertical="center" wrapText="1"/>
    </xf>
    <xf numFmtId="173" fontId="3" fillId="0" borderId="26" xfId="718" applyNumberFormat="1" applyFill="1" applyBorder="1" applyAlignment="1">
      <alignment vertical="center"/>
    </xf>
    <xf numFmtId="173" fontId="100" fillId="0" borderId="26" xfId="157" applyNumberFormat="1" applyFill="1" applyBorder="1" applyAlignment="1">
      <alignment horizontal="right" vertical="center"/>
    </xf>
    <xf numFmtId="0" fontId="5" fillId="0" borderId="17" xfId="414" applyFill="1" applyBorder="1" applyAlignment="1">
      <alignment vertical="center" wrapText="1"/>
    </xf>
    <xf numFmtId="173" fontId="5" fillId="0" borderId="26" xfId="414" applyNumberFormat="1" applyFill="1" applyBorder="1" applyAlignment="1">
      <alignment vertical="center"/>
    </xf>
    <xf numFmtId="0" fontId="116" fillId="0" borderId="17" xfId="0" applyFont="1" applyFill="1" applyBorder="1" applyAlignment="1">
      <alignment vertical="center" wrapText="1"/>
    </xf>
    <xf numFmtId="173" fontId="5" fillId="0" borderId="26" xfId="370" applyNumberFormat="1" applyFont="1" applyFill="1" applyBorder="1" applyAlignment="1">
      <alignment vertical="center"/>
    </xf>
    <xf numFmtId="0" fontId="5" fillId="0" borderId="17" xfId="370" applyFont="1" applyFill="1" applyBorder="1" applyAlignment="1">
      <alignment vertical="center" wrapText="1"/>
    </xf>
    <xf numFmtId="0" fontId="1" fillId="0" borderId="17" xfId="157" applyFont="1" applyFill="1" applyBorder="1" applyAlignment="1">
      <alignment vertical="center" wrapText="1"/>
    </xf>
    <xf numFmtId="0" fontId="1" fillId="0" borderId="21" xfId="157" applyFont="1" applyFill="1" applyBorder="1" applyAlignment="1">
      <alignment vertical="center" wrapText="1"/>
    </xf>
    <xf numFmtId="173" fontId="100" fillId="0" borderId="29" xfId="157" applyNumberFormat="1" applyFill="1" applyBorder="1" applyAlignment="1">
      <alignment vertical="center"/>
    </xf>
    <xf numFmtId="173" fontId="100" fillId="0" borderId="57" xfId="157" applyNumberFormat="1" applyFill="1" applyBorder="1" applyAlignment="1">
      <alignment vertical="center"/>
    </xf>
    <xf numFmtId="14" fontId="100" fillId="0" borderId="11" xfId="157" applyNumberFormat="1" applyFill="1" applyBorder="1" applyAlignment="1">
      <alignment vertical="center"/>
    </xf>
    <xf numFmtId="14" fontId="100" fillId="0" borderId="29" xfId="157" applyNumberFormat="1" applyFill="1" applyBorder="1" applyAlignment="1">
      <alignment vertical="center"/>
    </xf>
    <xf numFmtId="0" fontId="108" fillId="0" borderId="0" xfId="0" applyFont="1" applyAlignment="1">
      <alignment horizontal="center" vertical="top" wrapText="1"/>
    </xf>
    <xf numFmtId="0" fontId="73" fillId="0" borderId="0" xfId="0" applyFont="1" applyAlignment="1">
      <alignment horizontal="center"/>
    </xf>
    <xf numFmtId="0" fontId="39" fillId="24" borderId="0" xfId="0" applyFont="1" applyFill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29" fillId="0" borderId="0" xfId="0" applyFont="1" applyAlignment="1" applyProtection="1">
      <alignment horizontal="center"/>
      <protection locked="0"/>
    </xf>
    <xf numFmtId="0" fontId="29" fillId="24" borderId="0" xfId="0" applyFont="1" applyFill="1" applyAlignment="1" applyProtection="1">
      <protection locked="0"/>
    </xf>
    <xf numFmtId="0" fontId="0" fillId="24" borderId="0" xfId="0" applyFill="1" applyAlignment="1" applyProtection="1">
      <protection locked="0"/>
    </xf>
    <xf numFmtId="0" fontId="29" fillId="24" borderId="0" xfId="0" applyFont="1" applyFill="1" applyAlignment="1" applyProtection="1">
      <alignment horizontal="center"/>
      <protection locked="0"/>
    </xf>
    <xf numFmtId="0" fontId="21" fillId="0" borderId="75" xfId="161" applyFill="1" applyBorder="1" applyAlignment="1" applyProtection="1">
      <alignment horizontal="center"/>
    </xf>
    <xf numFmtId="0" fontId="21" fillId="0" borderId="76" xfId="161" applyFill="1" applyBorder="1" applyAlignment="1" applyProtection="1">
      <alignment horizontal="center"/>
    </xf>
    <xf numFmtId="0" fontId="21" fillId="0" borderId="78" xfId="161" applyFill="1" applyBorder="1" applyAlignment="1" applyProtection="1">
      <alignment horizontal="center"/>
    </xf>
    <xf numFmtId="0" fontId="21" fillId="0" borderId="62" xfId="161" applyFill="1" applyBorder="1" applyAlignment="1" applyProtection="1">
      <alignment horizontal="center"/>
    </xf>
    <xf numFmtId="0" fontId="21" fillId="0" borderId="36" xfId="161" applyFill="1" applyBorder="1" applyAlignment="1" applyProtection="1">
      <alignment horizontal="center"/>
    </xf>
    <xf numFmtId="0" fontId="21" fillId="0" borderId="48" xfId="161" applyFill="1" applyBorder="1" applyAlignment="1" applyProtection="1">
      <alignment horizontal="center"/>
    </xf>
    <xf numFmtId="0" fontId="51" fillId="0" borderId="0" xfId="161" applyFont="1" applyFill="1" applyAlignment="1" applyProtection="1">
      <alignment horizontal="right"/>
      <protection locked="0"/>
    </xf>
    <xf numFmtId="0" fontId="51" fillId="0" borderId="0" xfId="0" applyFont="1" applyAlignment="1" applyProtection="1">
      <alignment horizontal="right"/>
      <protection locked="0"/>
    </xf>
    <xf numFmtId="0" fontId="29" fillId="0" borderId="0" xfId="161" applyFont="1" applyFill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/>
      <protection locked="0"/>
    </xf>
    <xf numFmtId="0" fontId="29" fillId="0" borderId="0" xfId="161" applyFont="1" applyFill="1" applyAlignment="1" applyProtection="1">
      <alignment horizontal="center" vertical="center"/>
      <protection locked="0"/>
    </xf>
    <xf numFmtId="166" fontId="40" fillId="0" borderId="31" xfId="161" applyNumberFormat="1" applyFont="1" applyFill="1" applyBorder="1" applyAlignment="1" applyProtection="1">
      <alignment horizontal="left" vertical="center"/>
    </xf>
    <xf numFmtId="0" fontId="18" fillId="0" borderId="24" xfId="161" applyFont="1" applyFill="1" applyBorder="1" applyAlignment="1" applyProtection="1">
      <alignment horizontal="center" vertical="center" wrapText="1"/>
    </xf>
    <xf numFmtId="0" fontId="18" fillId="0" borderId="38" xfId="161" applyFont="1" applyFill="1" applyBorder="1" applyAlignment="1" applyProtection="1">
      <alignment horizontal="center" vertical="center" wrapText="1"/>
    </xf>
    <xf numFmtId="0" fontId="18" fillId="0" borderId="25" xfId="161" applyFont="1" applyFill="1" applyBorder="1" applyAlignment="1" applyProtection="1">
      <alignment horizontal="center" vertical="center" wrapText="1"/>
    </xf>
    <xf numFmtId="0" fontId="18" fillId="0" borderId="32" xfId="161" applyFont="1" applyFill="1" applyBorder="1" applyAlignment="1" applyProtection="1">
      <alignment horizontal="center" vertical="center" wrapText="1"/>
    </xf>
    <xf numFmtId="0" fontId="18" fillId="0" borderId="61" xfId="161" applyFont="1" applyFill="1" applyBorder="1" applyAlignment="1" applyProtection="1">
      <alignment horizontal="center" vertical="center" wrapText="1"/>
    </xf>
    <xf numFmtId="0" fontId="18" fillId="0" borderId="62" xfId="161" applyFont="1" applyFill="1" applyBorder="1" applyAlignment="1" applyProtection="1">
      <alignment horizontal="center" vertical="center" wrapText="1"/>
    </xf>
    <xf numFmtId="0" fontId="18" fillId="0" borderId="48" xfId="161" applyFont="1" applyFill="1" applyBorder="1" applyAlignment="1" applyProtection="1">
      <alignment horizontal="center" vertical="center" wrapText="1"/>
    </xf>
    <xf numFmtId="0" fontId="18" fillId="0" borderId="72" xfId="161" applyFont="1" applyFill="1" applyBorder="1" applyAlignment="1" applyProtection="1">
      <alignment horizontal="center" vertical="center" wrapText="1"/>
    </xf>
    <xf numFmtId="0" fontId="18" fillId="0" borderId="13" xfId="161" applyFont="1" applyFill="1" applyBorder="1" applyAlignment="1" applyProtection="1">
      <alignment horizontal="center" vertical="center" wrapText="1"/>
    </xf>
    <xf numFmtId="0" fontId="18" fillId="0" borderId="45" xfId="161" applyFont="1" applyFill="1" applyBorder="1" applyAlignment="1" applyProtection="1">
      <alignment horizontal="center" vertical="center" wrapText="1"/>
    </xf>
    <xf numFmtId="0" fontId="29" fillId="0" borderId="0" xfId="161" applyFont="1" applyFill="1" applyAlignment="1" applyProtection="1">
      <alignment horizontal="center"/>
    </xf>
    <xf numFmtId="166" fontId="17" fillId="0" borderId="0" xfId="161" applyNumberFormat="1" applyFont="1" applyFill="1" applyBorder="1" applyAlignment="1" applyProtection="1">
      <alignment horizontal="center" vertical="center"/>
      <protection locked="0"/>
    </xf>
    <xf numFmtId="166" fontId="17" fillId="0" borderId="0" xfId="161" applyNumberFormat="1" applyFont="1" applyFill="1" applyBorder="1" applyAlignment="1" applyProtection="1">
      <alignment horizontal="center" vertical="center"/>
    </xf>
    <xf numFmtId="166" fontId="40" fillId="0" borderId="31" xfId="161" applyNumberFormat="1" applyFont="1" applyFill="1" applyBorder="1" applyAlignment="1" applyProtection="1">
      <alignment horizontal="left" vertical="center"/>
      <protection locked="0"/>
    </xf>
    <xf numFmtId="166" fontId="40" fillId="0" borderId="31" xfId="161" applyNumberFormat="1" applyFont="1" applyFill="1" applyBorder="1" applyAlignment="1" applyProtection="1">
      <alignment horizontal="left"/>
    </xf>
    <xf numFmtId="166" fontId="51" fillId="0" borderId="0" xfId="0" applyNumberFormat="1" applyFont="1" applyFill="1" applyAlignment="1" applyProtection="1">
      <alignment horizontal="center" vertical="center" textRotation="180" wrapText="1"/>
      <protection locked="0"/>
    </xf>
    <xf numFmtId="166" fontId="36" fillId="0" borderId="71" xfId="0" applyNumberFormat="1" applyFont="1" applyFill="1" applyBorder="1" applyAlignment="1" applyProtection="1">
      <alignment horizontal="center" vertical="center" wrapText="1"/>
      <protection locked="0"/>
    </xf>
    <xf numFmtId="166" fontId="36" fillId="0" borderId="73" xfId="0" applyNumberFormat="1" applyFont="1" applyFill="1" applyBorder="1" applyAlignment="1" applyProtection="1">
      <alignment horizontal="center" vertical="center" wrapText="1"/>
      <protection locked="0"/>
    </xf>
    <xf numFmtId="166" fontId="109" fillId="0" borderId="60" xfId="0" applyNumberFormat="1" applyFont="1" applyFill="1" applyBorder="1" applyAlignment="1" applyProtection="1">
      <alignment horizontal="center" vertical="center" wrapText="1"/>
    </xf>
    <xf numFmtId="166" fontId="17" fillId="0" borderId="0" xfId="0" applyNumberFormat="1" applyFont="1" applyFill="1" applyAlignment="1" applyProtection="1">
      <alignment horizontal="center" vertical="center" wrapText="1"/>
      <protection locked="0"/>
    </xf>
    <xf numFmtId="166" fontId="18" fillId="0" borderId="58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56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166" fontId="51" fillId="0" borderId="0" xfId="0" applyNumberFormat="1" applyFont="1" applyFill="1" applyAlignment="1" applyProtection="1">
      <alignment horizontal="center" textRotation="180" wrapText="1"/>
      <protection locked="0"/>
    </xf>
    <xf numFmtId="166" fontId="29" fillId="0" borderId="0" xfId="0" applyNumberFormat="1" applyFont="1" applyFill="1" applyAlignment="1" applyProtection="1">
      <alignment horizontal="center" vertical="center" wrapText="1"/>
      <protection locked="0"/>
    </xf>
    <xf numFmtId="166" fontId="51" fillId="0" borderId="0" xfId="0" applyNumberFormat="1" applyFont="1" applyFill="1" applyAlignment="1" applyProtection="1">
      <alignment horizontal="right" vertical="center" wrapText="1"/>
      <protection locked="0"/>
    </xf>
    <xf numFmtId="0" fontId="51" fillId="0" borderId="0" xfId="0" applyFont="1" applyAlignment="1" applyProtection="1">
      <alignment horizontal="right" vertical="center" wrapText="1"/>
      <protection locked="0"/>
    </xf>
    <xf numFmtId="0" fontId="110" fillId="0" borderId="0" xfId="157" applyFont="1" applyAlignment="1">
      <alignment horizontal="center" vertical="center"/>
    </xf>
    <xf numFmtId="0" fontId="102" fillId="0" borderId="17" xfId="157" applyFont="1" applyBorder="1" applyAlignment="1">
      <alignment horizontal="center" vertical="center" wrapText="1"/>
    </xf>
    <xf numFmtId="0" fontId="102" fillId="0" borderId="11" xfId="157" applyFont="1" applyBorder="1" applyAlignment="1">
      <alignment horizontal="left" vertical="center" wrapText="1"/>
    </xf>
    <xf numFmtId="0" fontId="102" fillId="0" borderId="11" xfId="157" applyFont="1" applyBorder="1" applyAlignment="1">
      <alignment horizontal="center" vertical="center" wrapText="1"/>
    </xf>
    <xf numFmtId="0" fontId="102" fillId="0" borderId="15" xfId="157" applyFont="1" applyBorder="1" applyAlignment="1">
      <alignment horizontal="center" vertical="center" wrapText="1"/>
    </xf>
    <xf numFmtId="173" fontId="102" fillId="0" borderId="11" xfId="157" applyNumberFormat="1" applyFont="1" applyBorder="1" applyAlignment="1">
      <alignment horizontal="center" vertical="center" wrapText="1"/>
    </xf>
    <xf numFmtId="173" fontId="102" fillId="0" borderId="15" xfId="157" applyNumberFormat="1" applyFont="1" applyBorder="1" applyAlignment="1">
      <alignment horizontal="center" vertical="center" wrapText="1"/>
    </xf>
    <xf numFmtId="173" fontId="102" fillId="0" borderId="11" xfId="157" applyNumberFormat="1" applyFont="1" applyBorder="1" applyAlignment="1">
      <alignment horizontal="center" vertical="center"/>
    </xf>
    <xf numFmtId="173" fontId="102" fillId="0" borderId="26" xfId="157" applyNumberFormat="1" applyFont="1" applyBorder="1" applyAlignment="1">
      <alignment horizontal="center" vertical="center" wrapText="1"/>
    </xf>
    <xf numFmtId="173" fontId="102" fillId="0" borderId="27" xfId="157" applyNumberFormat="1" applyFont="1" applyBorder="1" applyAlignment="1">
      <alignment horizontal="center" vertical="center" wrapText="1"/>
    </xf>
    <xf numFmtId="0" fontId="52" fillId="0" borderId="31" xfId="0" applyFont="1" applyBorder="1" applyAlignment="1" applyProtection="1">
      <alignment horizontal="right" vertical="top"/>
      <protection locked="0"/>
    </xf>
    <xf numFmtId="0" fontId="44" fillId="0" borderId="31" xfId="0" applyFont="1" applyBorder="1" applyAlignment="1" applyProtection="1">
      <protection locked="0"/>
    </xf>
    <xf numFmtId="0" fontId="15" fillId="0" borderId="58" xfId="0" applyFont="1" applyFill="1" applyBorder="1" applyAlignment="1" applyProtection="1">
      <alignment horizontal="left" vertical="center"/>
    </xf>
    <xf numFmtId="0" fontId="15" fillId="0" borderId="33" xfId="0" applyFont="1" applyFill="1" applyBorder="1" applyAlignment="1" applyProtection="1">
      <alignment horizontal="left" vertical="center"/>
    </xf>
    <xf numFmtId="0" fontId="15" fillId="0" borderId="58" xfId="0" applyFont="1" applyBorder="1" applyAlignment="1">
      <alignment horizontal="left" vertical="center"/>
    </xf>
    <xf numFmtId="0" fontId="15" fillId="0" borderId="33" xfId="0" applyFont="1" applyBorder="1" applyAlignment="1">
      <alignment horizontal="left" vertical="center"/>
    </xf>
    <xf numFmtId="0" fontId="18" fillId="0" borderId="58" xfId="0" applyFont="1" applyFill="1" applyBorder="1" applyAlignment="1" applyProtection="1">
      <alignment horizontal="center" vertical="center" wrapText="1"/>
    </xf>
    <xf numFmtId="0" fontId="18" fillId="0" borderId="56" xfId="0" applyFont="1" applyFill="1" applyBorder="1" applyAlignment="1" applyProtection="1">
      <alignment horizontal="center"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17" fillId="0" borderId="43" xfId="0" applyFont="1" applyFill="1" applyBorder="1" applyAlignment="1" applyProtection="1">
      <alignment horizontal="center" vertical="center"/>
      <protection locked="0"/>
    </xf>
    <xf numFmtId="0" fontId="17" fillId="0" borderId="53" xfId="0" applyFont="1" applyFill="1" applyBorder="1" applyAlignment="1" applyProtection="1">
      <alignment horizontal="center" vertical="center"/>
      <protection locked="0"/>
    </xf>
    <xf numFmtId="0" fontId="17" fillId="0" borderId="56" xfId="0" applyFont="1" applyFill="1" applyBorder="1" applyAlignment="1" applyProtection="1">
      <alignment horizontal="center" vertical="center"/>
      <protection locked="0"/>
    </xf>
    <xf numFmtId="0" fontId="17" fillId="0" borderId="33" xfId="0" applyFont="1" applyFill="1" applyBorder="1" applyAlignment="1" applyProtection="1">
      <alignment horizontal="center" vertical="center"/>
      <protection locked="0"/>
    </xf>
    <xf numFmtId="0" fontId="16" fillId="0" borderId="56" xfId="0" applyFont="1" applyFill="1" applyBorder="1" applyAlignment="1" applyProtection="1">
      <alignment horizontal="right"/>
      <protection locked="0"/>
    </xf>
    <xf numFmtId="0" fontId="18" fillId="0" borderId="58" xfId="0" applyFont="1" applyFill="1" applyBorder="1" applyAlignment="1" applyProtection="1">
      <alignment horizontal="left" vertical="center" wrapText="1" indent="1"/>
    </xf>
    <xf numFmtId="0" fontId="18" fillId="0" borderId="33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center" vertical="center" wrapText="1"/>
    </xf>
    <xf numFmtId="0" fontId="29" fillId="0" borderId="0" xfId="0" applyFont="1" applyAlignment="1">
      <alignment vertical="center" wrapText="1"/>
    </xf>
    <xf numFmtId="0" fontId="51" fillId="0" borderId="0" xfId="0" applyFont="1" applyFill="1" applyAlignment="1" applyProtection="1">
      <alignment horizontal="right" vertical="center" wrapText="1"/>
    </xf>
    <xf numFmtId="0" fontId="0" fillId="0" borderId="0" xfId="0" applyFont="1" applyAlignment="1">
      <alignment horizontal="right"/>
    </xf>
    <xf numFmtId="0" fontId="18" fillId="0" borderId="24" xfId="0" applyFont="1" applyFill="1" applyBorder="1" applyAlignment="1" applyProtection="1">
      <alignment horizontal="center" vertical="center" wrapText="1"/>
    </xf>
    <xf numFmtId="0" fontId="18" fillId="0" borderId="38" xfId="0" applyFont="1" applyFill="1" applyBorder="1" applyAlignment="1" applyProtection="1">
      <alignment horizontal="center" vertical="center" wrapText="1"/>
    </xf>
    <xf numFmtId="0" fontId="18" fillId="0" borderId="25" xfId="0" applyFont="1" applyFill="1" applyBorder="1" applyAlignment="1" applyProtection="1">
      <alignment horizontal="center" vertical="center" wrapText="1"/>
    </xf>
    <xf numFmtId="0" fontId="18" fillId="0" borderId="3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36" fillId="0" borderId="28" xfId="0" applyFont="1" applyFill="1" applyBorder="1" applyAlignment="1" applyProtection="1">
      <alignment horizontal="center" vertical="center" wrapText="1"/>
    </xf>
    <xf numFmtId="166" fontId="16" fillId="0" borderId="31" xfId="0" applyNumberFormat="1" applyFont="1" applyFill="1" applyBorder="1" applyAlignment="1" applyProtection="1">
      <alignment horizontal="right" vertical="center"/>
    </xf>
    <xf numFmtId="0" fontId="51" fillId="0" borderId="0" xfId="0" applyFont="1" applyFill="1" applyBorder="1" applyAlignment="1">
      <alignment horizontal="center" textRotation="180"/>
    </xf>
    <xf numFmtId="0" fontId="74" fillId="0" borderId="31" xfId="0" applyFont="1" applyFill="1" applyBorder="1" applyAlignment="1" applyProtection="1">
      <alignment horizontal="right"/>
    </xf>
    <xf numFmtId="0" fontId="56" fillId="0" borderId="0" xfId="0" applyFont="1" applyFill="1" applyBorder="1" applyAlignment="1" applyProtection="1">
      <alignment horizontal="center" vertical="center"/>
      <protection locked="0"/>
    </xf>
    <xf numFmtId="0" fontId="123" fillId="0" borderId="53" xfId="499" applyFont="1" applyBorder="1" applyAlignment="1">
      <alignment horizontal="right" vertical="center"/>
    </xf>
    <xf numFmtId="0" fontId="123" fillId="0" borderId="33" xfId="499" applyFont="1" applyBorder="1" applyAlignment="1">
      <alignment horizontal="right" vertical="center"/>
    </xf>
    <xf numFmtId="49" fontId="123" fillId="0" borderId="63" xfId="499" applyNumberFormat="1" applyFont="1" applyBorder="1" applyAlignment="1">
      <alignment horizontal="center" vertical="center"/>
    </xf>
    <xf numFmtId="49" fontId="123" fillId="0" borderId="89" xfId="499" applyNumberFormat="1" applyFont="1" applyBorder="1" applyAlignment="1">
      <alignment horizontal="center" vertical="center"/>
    </xf>
    <xf numFmtId="0" fontId="18" fillId="0" borderId="20" xfId="161" applyFont="1" applyFill="1" applyBorder="1" applyAlignment="1" applyProtection="1">
      <alignment horizontal="center" vertical="center" wrapText="1"/>
    </xf>
    <xf numFmtId="0" fontId="18" fillId="0" borderId="21" xfId="161" applyFont="1" applyFill="1" applyBorder="1" applyAlignment="1" applyProtection="1">
      <alignment horizontal="center" vertical="center" wrapText="1"/>
    </xf>
    <xf numFmtId="0" fontId="18" fillId="0" borderId="29" xfId="161" applyFont="1" applyFill="1" applyBorder="1" applyAlignment="1" applyProtection="1">
      <alignment horizontal="center" vertical="center" wrapText="1"/>
    </xf>
    <xf numFmtId="166" fontId="36" fillId="0" borderId="13" xfId="161" applyNumberFormat="1" applyFont="1" applyFill="1" applyBorder="1" applyAlignment="1" applyProtection="1">
      <alignment horizontal="center" vertical="center"/>
    </xf>
    <xf numFmtId="166" fontId="36" fillId="0" borderId="45" xfId="161" applyNumberFormat="1" applyFont="1" applyFill="1" applyBorder="1" applyAlignment="1" applyProtection="1">
      <alignment horizontal="center" vertical="center"/>
    </xf>
    <xf numFmtId="0" fontId="16" fillId="0" borderId="31" xfId="0" applyFont="1" applyFill="1" applyBorder="1" applyAlignment="1" applyProtection="1">
      <alignment horizontal="right"/>
    </xf>
    <xf numFmtId="0" fontId="18" fillId="0" borderId="20" xfId="161" applyFont="1" applyFill="1" applyBorder="1" applyAlignment="1" applyProtection="1">
      <alignment horizontal="center" vertical="center" wrapText="1"/>
      <protection locked="0"/>
    </xf>
    <xf numFmtId="0" fontId="18" fillId="0" borderId="21" xfId="161" applyFont="1" applyFill="1" applyBorder="1" applyAlignment="1" applyProtection="1">
      <alignment horizontal="center" vertical="center" wrapText="1"/>
      <protection locked="0"/>
    </xf>
    <xf numFmtId="0" fontId="18" fillId="0" borderId="13" xfId="161" applyFont="1" applyFill="1" applyBorder="1" applyAlignment="1" applyProtection="1">
      <alignment horizontal="center" vertical="center" wrapText="1"/>
      <protection locked="0"/>
    </xf>
    <xf numFmtId="0" fontId="18" fillId="0" borderId="29" xfId="161" applyFont="1" applyFill="1" applyBorder="1" applyAlignment="1" applyProtection="1">
      <alignment horizontal="center" vertical="center" wrapText="1"/>
      <protection locked="0"/>
    </xf>
    <xf numFmtId="0" fontId="18" fillId="0" borderId="25" xfId="161" applyFont="1" applyFill="1" applyBorder="1" applyAlignment="1" applyProtection="1">
      <alignment horizontal="center" vertical="center" wrapText="1"/>
      <protection locked="0"/>
    </xf>
    <xf numFmtId="0" fontId="18" fillId="0" borderId="32" xfId="161" applyFont="1" applyFill="1" applyBorder="1" applyAlignment="1" applyProtection="1">
      <alignment horizontal="center" vertical="center" wrapText="1"/>
      <protection locked="0"/>
    </xf>
    <xf numFmtId="166" fontId="36" fillId="0" borderId="13" xfId="161" applyNumberFormat="1" applyFont="1" applyFill="1" applyBorder="1" applyAlignment="1" applyProtection="1">
      <alignment horizontal="center" vertical="center"/>
      <protection locked="0"/>
    </xf>
    <xf numFmtId="166" fontId="36" fillId="0" borderId="45" xfId="161" applyNumberFormat="1" applyFont="1" applyFill="1" applyBorder="1" applyAlignment="1" applyProtection="1">
      <alignment horizontal="center" vertical="center"/>
      <protection locked="0"/>
    </xf>
    <xf numFmtId="0" fontId="16" fillId="0" borderId="31" xfId="0" applyFont="1" applyFill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vertical="center" wrapText="1"/>
      <protection locked="0"/>
    </xf>
    <xf numFmtId="166" fontId="18" fillId="0" borderId="24" xfId="0" applyNumberFormat="1" applyFont="1" applyFill="1" applyBorder="1" applyAlignment="1" applyProtection="1">
      <alignment horizontal="center" vertical="center" wrapText="1"/>
    </xf>
    <xf numFmtId="166" fontId="18" fillId="0" borderId="38" xfId="0" applyNumberFormat="1" applyFont="1" applyFill="1" applyBorder="1" applyAlignment="1" applyProtection="1">
      <alignment horizontal="center" vertical="center" wrapText="1"/>
    </xf>
    <xf numFmtId="166" fontId="18" fillId="0" borderId="25" xfId="0" applyNumberFormat="1" applyFont="1" applyFill="1" applyBorder="1" applyAlignment="1" applyProtection="1">
      <alignment horizontal="center" vertical="center" wrapText="1"/>
    </xf>
    <xf numFmtId="166" fontId="18" fillId="0" borderId="32" xfId="0" applyNumberFormat="1" applyFont="1" applyFill="1" applyBorder="1" applyAlignment="1" applyProtection="1">
      <alignment horizontal="center" vertical="center"/>
    </xf>
    <xf numFmtId="166" fontId="18" fillId="0" borderId="32" xfId="0" applyNumberFormat="1" applyFont="1" applyFill="1" applyBorder="1" applyAlignment="1" applyProtection="1">
      <alignment horizontal="center" vertical="center" wrapText="1"/>
    </xf>
    <xf numFmtId="166" fontId="18" fillId="0" borderId="71" xfId="0" applyNumberFormat="1" applyFont="1" applyFill="1" applyBorder="1" applyAlignment="1" applyProtection="1">
      <alignment horizontal="center" vertical="center" wrapText="1"/>
    </xf>
    <xf numFmtId="166" fontId="18" fillId="0" borderId="73" xfId="0" applyNumberFormat="1" applyFont="1" applyFill="1" applyBorder="1" applyAlignment="1" applyProtection="1">
      <alignment horizontal="center" vertical="center" wrapText="1"/>
    </xf>
    <xf numFmtId="166" fontId="16" fillId="0" borderId="31" xfId="0" applyNumberFormat="1" applyFont="1" applyFill="1" applyBorder="1" applyAlignment="1" applyProtection="1">
      <alignment horizontal="right" vertical="center"/>
      <protection locked="0"/>
    </xf>
    <xf numFmtId="166" fontId="18" fillId="0" borderId="61" xfId="0" applyNumberFormat="1" applyFont="1" applyFill="1" applyBorder="1" applyAlignment="1" applyProtection="1">
      <alignment horizontal="center" vertical="center"/>
    </xf>
    <xf numFmtId="166" fontId="18" fillId="0" borderId="62" xfId="0" applyNumberFormat="1" applyFont="1" applyFill="1" applyBorder="1" applyAlignment="1" applyProtection="1">
      <alignment horizontal="center" vertical="center"/>
    </xf>
    <xf numFmtId="166" fontId="18" fillId="0" borderId="48" xfId="0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Fill="1" applyAlignment="1" applyProtection="1">
      <alignment horizontal="center" vertical="center" textRotation="180" wrapText="1"/>
      <protection locked="0"/>
    </xf>
    <xf numFmtId="166" fontId="18" fillId="0" borderId="71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73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71" xfId="0" applyNumberFormat="1" applyFont="1" applyFill="1" applyBorder="1" applyAlignment="1" applyProtection="1">
      <alignment horizontal="center" vertical="center"/>
      <protection locked="0"/>
    </xf>
    <xf numFmtId="166" fontId="18" fillId="0" borderId="73" xfId="0" applyNumberFormat="1" applyFont="1" applyFill="1" applyBorder="1" applyAlignment="1" applyProtection="1">
      <alignment horizontal="center" vertical="center"/>
      <protection locked="0"/>
    </xf>
    <xf numFmtId="166" fontId="18" fillId="0" borderId="70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74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61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72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47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50" xfId="0" applyNumberFormat="1" applyFont="1" applyFill="1" applyBorder="1" applyAlignment="1" applyProtection="1">
      <alignment horizontal="center" vertical="center" wrapText="1"/>
      <protection locked="0"/>
    </xf>
    <xf numFmtId="166" fontId="20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Alignment="1" applyProtection="1">
      <alignment horizontal="center" vertical="center" wrapText="1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0" fontId="18" fillId="0" borderId="70" xfId="0" applyFont="1" applyFill="1" applyBorder="1" applyAlignment="1" applyProtection="1">
      <alignment horizontal="center" vertical="center" wrapText="1"/>
      <protection locked="0"/>
    </xf>
    <xf numFmtId="0" fontId="18" fillId="0" borderId="74" xfId="0" applyFont="1" applyFill="1" applyBorder="1" applyAlignment="1" applyProtection="1">
      <alignment horizontal="center" vertical="center" wrapText="1"/>
      <protection locked="0"/>
    </xf>
    <xf numFmtId="0" fontId="18" fillId="0" borderId="25" xfId="0" applyFont="1" applyFill="1" applyBorder="1" applyAlignment="1" applyProtection="1">
      <alignment horizontal="center" vertical="center" wrapText="1"/>
      <protection locked="0"/>
    </xf>
    <xf numFmtId="0" fontId="18" fillId="0" borderId="32" xfId="0" applyFont="1" applyFill="1" applyBorder="1" applyAlignment="1" applyProtection="1">
      <alignment horizontal="center" vertical="center" wrapText="1"/>
      <protection locked="0"/>
    </xf>
    <xf numFmtId="0" fontId="18" fillId="0" borderId="60" xfId="0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Fill="1" applyBorder="1" applyAlignment="1" applyProtection="1">
      <alignment horizontal="center" vertical="center" wrapText="1"/>
      <protection locked="0"/>
    </xf>
    <xf numFmtId="0" fontId="36" fillId="0" borderId="53" xfId="0" applyFont="1" applyFill="1" applyBorder="1" applyAlignment="1" applyProtection="1">
      <alignment horizontal="center"/>
      <protection locked="0"/>
    </xf>
    <xf numFmtId="0" fontId="36" fillId="0" borderId="56" xfId="0" applyFont="1" applyFill="1" applyBorder="1" applyAlignment="1" applyProtection="1">
      <alignment horizontal="center"/>
      <protection locked="0"/>
    </xf>
    <xf numFmtId="0" fontId="18" fillId="0" borderId="68" xfId="0" applyFont="1" applyFill="1" applyBorder="1" applyAlignment="1" applyProtection="1">
      <alignment horizontal="center" vertical="center" wrapText="1"/>
      <protection locked="0"/>
    </xf>
    <xf numFmtId="0" fontId="18" fillId="0" borderId="59" xfId="0" applyFont="1" applyFill="1" applyBorder="1" applyAlignment="1" applyProtection="1">
      <alignment horizontal="center" vertical="center" wrapText="1"/>
      <protection locked="0"/>
    </xf>
    <xf numFmtId="0" fontId="18" fillId="0" borderId="70" xfId="0" applyFont="1" applyFill="1" applyBorder="1" applyAlignment="1">
      <alignment horizontal="left" vertical="center" wrapText="1"/>
    </xf>
    <xf numFmtId="0" fontId="18" fillId="0" borderId="60" xfId="0" applyFont="1" applyFill="1" applyBorder="1" applyAlignment="1">
      <alignment horizontal="left" vertical="center" wrapText="1"/>
    </xf>
    <xf numFmtId="0" fontId="18" fillId="0" borderId="47" xfId="0" applyFont="1" applyFill="1" applyBorder="1" applyAlignment="1">
      <alignment horizontal="left" vertical="center" wrapText="1"/>
    </xf>
    <xf numFmtId="0" fontId="34" fillId="0" borderId="58" xfId="0" applyFont="1" applyFill="1" applyBorder="1" applyAlignment="1" applyProtection="1">
      <alignment horizontal="left" vertical="center"/>
    </xf>
    <xf numFmtId="0" fontId="34" fillId="0" borderId="33" xfId="0" applyFont="1" applyFill="1" applyBorder="1" applyAlignment="1" applyProtection="1">
      <alignment horizontal="left" vertical="center"/>
    </xf>
    <xf numFmtId="0" fontId="18" fillId="0" borderId="70" xfId="0" applyFont="1" applyFill="1" applyBorder="1" applyAlignment="1" applyProtection="1">
      <alignment horizontal="left" vertical="center" wrapText="1"/>
    </xf>
    <xf numFmtId="0" fontId="18" fillId="0" borderId="60" xfId="0" applyFont="1" applyFill="1" applyBorder="1" applyAlignment="1" applyProtection="1">
      <alignment horizontal="left" vertical="center" wrapText="1"/>
    </xf>
    <xf numFmtId="0" fontId="18" fillId="0" borderId="47" xfId="0" applyFont="1" applyFill="1" applyBorder="1" applyAlignment="1" applyProtection="1">
      <alignment horizontal="left" vertical="center" wrapText="1"/>
    </xf>
    <xf numFmtId="0" fontId="37" fillId="0" borderId="58" xfId="0" applyFont="1" applyFill="1" applyBorder="1" applyAlignment="1" applyProtection="1">
      <alignment horizontal="left" vertical="center"/>
    </xf>
    <xf numFmtId="0" fontId="37" fillId="0" borderId="33" xfId="0" applyFont="1" applyFill="1" applyBorder="1" applyAlignment="1" applyProtection="1">
      <alignment horizontal="left" vertical="center"/>
    </xf>
    <xf numFmtId="0" fontId="54" fillId="0" borderId="31" xfId="0" applyFont="1" applyFill="1" applyBorder="1" applyAlignment="1" applyProtection="1">
      <alignment horizontal="right"/>
      <protection locked="0"/>
    </xf>
    <xf numFmtId="0" fontId="51" fillId="0" borderId="0" xfId="0" applyFont="1" applyFill="1" applyAlignment="1" applyProtection="1">
      <alignment horizontal="right" vertical="center" wrapText="1"/>
      <protection locked="0"/>
    </xf>
    <xf numFmtId="0" fontId="35" fillId="0" borderId="60" xfId="0" applyFont="1" applyFill="1" applyBorder="1" applyAlignment="1">
      <alignment horizontal="center" vertical="center" wrapText="1"/>
    </xf>
    <xf numFmtId="0" fontId="36" fillId="0" borderId="58" xfId="0" applyFont="1" applyFill="1" applyBorder="1" applyAlignment="1">
      <alignment horizontal="left" vertical="center" indent="2"/>
    </xf>
    <xf numFmtId="0" fontId="36" fillId="0" borderId="33" xfId="0" applyFont="1" applyFill="1" applyBorder="1" applyAlignment="1">
      <alignment horizontal="left" vertical="center" indent="2"/>
    </xf>
    <xf numFmtId="0" fontId="51" fillId="0" borderId="0" xfId="0" applyFont="1" applyFill="1" applyAlignment="1" applyProtection="1">
      <alignment horizontal="right"/>
      <protection locked="0"/>
    </xf>
    <xf numFmtId="0" fontId="29" fillId="0" borderId="0" xfId="0" applyFont="1" applyFill="1" applyAlignment="1" applyProtection="1">
      <alignment horizontal="center"/>
      <protection locked="0"/>
    </xf>
    <xf numFmtId="0" fontId="52" fillId="0" borderId="0" xfId="163" applyFont="1" applyFill="1" applyAlignment="1" applyProtection="1">
      <alignment horizontal="center"/>
      <protection locked="0"/>
    </xf>
    <xf numFmtId="0" fontId="48" fillId="0" borderId="0" xfId="163" applyFont="1" applyFill="1" applyAlignment="1" applyProtection="1">
      <alignment horizontal="left"/>
    </xf>
    <xf numFmtId="0" fontId="56" fillId="0" borderId="0" xfId="163" applyFont="1" applyFill="1" applyAlignment="1" applyProtection="1">
      <alignment horizontal="center"/>
      <protection locked="0"/>
    </xf>
    <xf numFmtId="0" fontId="37" fillId="0" borderId="0" xfId="0" applyFont="1" applyAlignment="1">
      <alignment horizontal="center"/>
    </xf>
    <xf numFmtId="0" fontId="56" fillId="0" borderId="0" xfId="163" applyFont="1" applyFill="1" applyAlignment="1" applyProtection="1">
      <alignment horizontal="center" vertical="center" wrapText="1"/>
      <protection locked="0"/>
    </xf>
    <xf numFmtId="0" fontId="56" fillId="0" borderId="0" xfId="163" applyFont="1" applyFill="1" applyAlignment="1" applyProtection="1">
      <alignment horizontal="center" vertical="center"/>
      <protection locked="0"/>
    </xf>
    <xf numFmtId="0" fontId="59" fillId="0" borderId="24" xfId="163" applyFont="1" applyFill="1" applyBorder="1" applyAlignment="1" applyProtection="1">
      <alignment horizontal="center" vertical="center" wrapText="1"/>
      <protection locked="0"/>
    </xf>
    <xf numFmtId="0" fontId="59" fillId="0" borderId="16" xfId="163" applyFont="1" applyFill="1" applyBorder="1" applyAlignment="1" applyProtection="1">
      <alignment horizontal="center" vertical="center" wrapText="1"/>
      <protection locked="0"/>
    </xf>
    <xf numFmtId="0" fontId="59" fillId="0" borderId="18" xfId="163" applyFont="1" applyFill="1" applyBorder="1" applyAlignment="1" applyProtection="1">
      <alignment horizontal="center" vertical="center" wrapText="1"/>
      <protection locked="0"/>
    </xf>
    <xf numFmtId="0" fontId="60" fillId="0" borderId="25" xfId="162" applyFont="1" applyFill="1" applyBorder="1" applyAlignment="1" applyProtection="1">
      <alignment horizontal="center" vertical="center" textRotation="90"/>
      <protection locked="0"/>
    </xf>
    <xf numFmtId="0" fontId="60" fillId="0" borderId="10" xfId="162" applyFont="1" applyFill="1" applyBorder="1" applyAlignment="1" applyProtection="1">
      <alignment horizontal="center" vertical="center" textRotation="90"/>
      <protection locked="0"/>
    </xf>
    <xf numFmtId="0" fontId="60" fillId="0" borderId="12" xfId="162" applyFont="1" applyFill="1" applyBorder="1" applyAlignment="1" applyProtection="1">
      <alignment horizontal="center" vertical="center" textRotation="90"/>
      <protection locked="0"/>
    </xf>
    <xf numFmtId="0" fontId="58" fillId="0" borderId="13" xfId="163" applyFont="1" applyFill="1" applyBorder="1" applyAlignment="1" applyProtection="1">
      <alignment horizontal="center" vertical="center" wrapText="1"/>
      <protection locked="0"/>
    </xf>
    <xf numFmtId="0" fontId="58" fillId="0" borderId="11" xfId="163" applyFont="1" applyFill="1" applyBorder="1" applyAlignment="1" applyProtection="1">
      <alignment horizontal="center" vertical="center" wrapText="1"/>
      <protection locked="0"/>
    </xf>
    <xf numFmtId="0" fontId="58" fillId="0" borderId="11" xfId="163" applyFont="1" applyFill="1" applyBorder="1" applyAlignment="1" applyProtection="1">
      <alignment horizontal="center" wrapText="1"/>
      <protection locked="0"/>
    </xf>
    <xf numFmtId="0" fontId="58" fillId="0" borderId="31" xfId="163" applyFont="1" applyFill="1" applyBorder="1" applyAlignment="1" applyProtection="1">
      <alignment horizontal="center"/>
      <protection locked="0"/>
    </xf>
    <xf numFmtId="0" fontId="48" fillId="0" borderId="0" xfId="163" applyFont="1" applyFill="1" applyAlignment="1" applyProtection="1">
      <alignment horizontal="center"/>
    </xf>
    <xf numFmtId="0" fontId="51" fillId="0" borderId="0" xfId="162" applyFont="1" applyFill="1" applyAlignment="1" applyProtection="1">
      <alignment horizontal="right" vertical="center" wrapText="1"/>
      <protection locked="0"/>
    </xf>
    <xf numFmtId="0" fontId="25" fillId="0" borderId="0" xfId="162" applyFill="1" applyAlignment="1" applyProtection="1">
      <alignment horizontal="right" vertical="center" wrapText="1"/>
      <protection locked="0"/>
    </xf>
    <xf numFmtId="0" fontId="29" fillId="0" borderId="0" xfId="162" applyFont="1" applyFill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37" fillId="0" borderId="0" xfId="162" applyFont="1" applyFill="1" applyAlignment="1" applyProtection="1">
      <alignment horizontal="center" vertical="center" wrapText="1"/>
      <protection locked="0"/>
    </xf>
    <xf numFmtId="0" fontId="29" fillId="0" borderId="20" xfId="162" applyFont="1" applyFill="1" applyBorder="1" applyAlignment="1" applyProtection="1">
      <alignment horizontal="center" vertical="center" wrapText="1"/>
      <protection locked="0"/>
    </xf>
    <xf numFmtId="0" fontId="29" fillId="0" borderId="17" xfId="162" applyFont="1" applyFill="1" applyBorder="1" applyAlignment="1" applyProtection="1">
      <alignment horizontal="center" vertical="center" wrapText="1"/>
      <protection locked="0"/>
    </xf>
    <xf numFmtId="0" fontId="60" fillId="0" borderId="13" xfId="162" applyFont="1" applyFill="1" applyBorder="1" applyAlignment="1" applyProtection="1">
      <alignment horizontal="center" vertical="center" textRotation="90"/>
      <protection locked="0"/>
    </xf>
    <xf numFmtId="0" fontId="60" fillId="0" borderId="11" xfId="162" applyFont="1" applyFill="1" applyBorder="1" applyAlignment="1" applyProtection="1">
      <alignment horizontal="center" vertical="center" textRotation="90"/>
      <protection locked="0"/>
    </xf>
    <xf numFmtId="0" fontId="16" fillId="0" borderId="45" xfId="162" applyFont="1" applyFill="1" applyBorder="1" applyAlignment="1" applyProtection="1">
      <alignment horizontal="center" vertical="center" wrapText="1"/>
      <protection locked="0"/>
    </xf>
    <xf numFmtId="0" fontId="16" fillId="0" borderId="26" xfId="162" applyFont="1" applyFill="1" applyBorder="1" applyAlignment="1" applyProtection="1">
      <alignment horizontal="center" vertical="center"/>
      <protection locked="0"/>
    </xf>
    <xf numFmtId="0" fontId="40" fillId="0" borderId="31" xfId="162" applyFont="1" applyFill="1" applyBorder="1" applyAlignment="1" applyProtection="1">
      <alignment horizontal="right" vertical="center"/>
      <protection locked="0"/>
    </xf>
    <xf numFmtId="0" fontId="56" fillId="0" borderId="0" xfId="163" applyFont="1" applyFill="1" applyAlignment="1">
      <alignment horizontal="center" vertical="center" wrapText="1"/>
    </xf>
    <xf numFmtId="0" fontId="56" fillId="0" borderId="0" xfId="163" applyFont="1" applyFill="1" applyAlignment="1">
      <alignment horizontal="center" vertical="center"/>
    </xf>
    <xf numFmtId="0" fontId="31" fillId="0" borderId="58" xfId="163" applyFont="1" applyFill="1" applyBorder="1" applyAlignment="1">
      <alignment horizontal="left"/>
    </xf>
    <xf numFmtId="0" fontId="31" fillId="0" borderId="33" xfId="163" applyFont="1" applyFill="1" applyBorder="1" applyAlignment="1">
      <alignment horizontal="left"/>
    </xf>
    <xf numFmtId="3" fontId="48" fillId="0" borderId="0" xfId="163" applyNumberFormat="1" applyFont="1" applyFill="1" applyAlignment="1">
      <alignment horizontal="center"/>
    </xf>
    <xf numFmtId="0" fontId="52" fillId="0" borderId="0" xfId="163" applyFont="1" applyFill="1" applyAlignment="1">
      <alignment horizontal="right"/>
    </xf>
    <xf numFmtId="0" fontId="56" fillId="0" borderId="0" xfId="163" applyFont="1" applyFill="1" applyAlignment="1">
      <alignment horizontal="center"/>
    </xf>
    <xf numFmtId="0" fontId="50" fillId="0" borderId="60" xfId="163" applyFont="1" applyFill="1" applyBorder="1" applyAlignment="1">
      <alignment horizontal="left"/>
    </xf>
    <xf numFmtId="0" fontId="51" fillId="0" borderId="0" xfId="0" applyFont="1" applyAlignment="1" applyProtection="1">
      <alignment horizontal="center" textRotation="180"/>
      <protection locked="0"/>
    </xf>
    <xf numFmtId="0" fontId="66" fillId="0" borderId="22" xfId="0" applyFont="1" applyBorder="1" applyAlignment="1" applyProtection="1">
      <alignment wrapText="1"/>
    </xf>
    <xf numFmtId="0" fontId="66" fillId="0" borderId="23" xfId="0" applyFont="1" applyBorder="1" applyAlignment="1" applyProtection="1">
      <alignment wrapText="1"/>
    </xf>
    <xf numFmtId="0" fontId="29" fillId="0" borderId="0" xfId="0" applyFont="1" applyAlignment="1" applyProtection="1">
      <alignment horizontal="center" wrapText="1"/>
      <protection locked="0"/>
    </xf>
    <xf numFmtId="0" fontId="66" fillId="0" borderId="0" xfId="0" applyFont="1" applyAlignment="1" applyProtection="1">
      <alignment horizontal="center"/>
      <protection locked="0"/>
    </xf>
    <xf numFmtId="0" fontId="17" fillId="0" borderId="0" xfId="0" applyFont="1" applyFill="1" applyAlignment="1" applyProtection="1">
      <alignment horizontal="center" vertical="top" wrapText="1"/>
      <protection locked="0"/>
    </xf>
    <xf numFmtId="0" fontId="51" fillId="0" borderId="0" xfId="0" applyFont="1" applyAlignment="1">
      <alignment horizontal="right"/>
    </xf>
  </cellXfs>
  <cellStyles count="791">
    <cellStyle name="1. jelölőszín" xfId="1"/>
    <cellStyle name="1. jelölőszín 2" xfId="2"/>
    <cellStyle name="2. jelölőszín" xfId="3"/>
    <cellStyle name="2. jelölőszín 2" xfId="4"/>
    <cellStyle name="20% - 1. jelölőszín 2" xfId="5"/>
    <cellStyle name="20% - 1. jelölőszín 3" xfId="6"/>
    <cellStyle name="20% - 2. jelölőszín 2" xfId="7"/>
    <cellStyle name="20% - 2. jelölőszín 3" xfId="8"/>
    <cellStyle name="20% - 3. jelölőszín 2" xfId="9"/>
    <cellStyle name="20% - 3. jelölőszín 3" xfId="10"/>
    <cellStyle name="20% - 4. jelölőszín 2" xfId="11"/>
    <cellStyle name="20% - 4. jelölőszín 3" xfId="12"/>
    <cellStyle name="20% - 5. jelölőszín 2" xfId="13"/>
    <cellStyle name="20% - 5. jelölőszín 3" xfId="14"/>
    <cellStyle name="20% - 6. jelölőszín 2" xfId="15"/>
    <cellStyle name="20% - 6. jelölőszín 3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3. jelölőszín" xfId="23"/>
    <cellStyle name="3. jelölőszín 2" xfId="24"/>
    <cellStyle name="4. jelölőszín" xfId="25"/>
    <cellStyle name="4. jelölőszín 2" xfId="26"/>
    <cellStyle name="40% - 1. jelölőszín 2" xfId="27"/>
    <cellStyle name="40% - 1. jelölőszín 3" xfId="28"/>
    <cellStyle name="40% - 2. jelölőszín 2" xfId="29"/>
    <cellStyle name="40% - 2. jelölőszín 3" xfId="30"/>
    <cellStyle name="40% - 3. jelölőszín 2" xfId="31"/>
    <cellStyle name="40% - 3. jelölőszín 3" xfId="32"/>
    <cellStyle name="40% - 4. jelölőszín 2" xfId="33"/>
    <cellStyle name="40% - 4. jelölőszín 3" xfId="34"/>
    <cellStyle name="40% - 5. jelölőszín 2" xfId="35"/>
    <cellStyle name="40% - 5. jelölőszín 3" xfId="36"/>
    <cellStyle name="40% - 6. jelölőszín 2" xfId="37"/>
    <cellStyle name="40% - 6. jelölőszín 3" xfId="38"/>
    <cellStyle name="40% - Accent1" xfId="39"/>
    <cellStyle name="40% - Accent2" xfId="40"/>
    <cellStyle name="40% - Accent3" xfId="41"/>
    <cellStyle name="40% - Accent4" xfId="42"/>
    <cellStyle name="40% - Accent5" xfId="43"/>
    <cellStyle name="40% - Accent6" xfId="44"/>
    <cellStyle name="5. jelölőszín" xfId="45"/>
    <cellStyle name="5. jelölőszín 2" xfId="46"/>
    <cellStyle name="6. jelölőszín" xfId="47"/>
    <cellStyle name="6. jelölőszín 2" xfId="48"/>
    <cellStyle name="60% - 1. jelölőszín 2" xfId="49"/>
    <cellStyle name="60% - 1. jelölőszín 3" xfId="50"/>
    <cellStyle name="60% - 2. jelölőszín 2" xfId="51"/>
    <cellStyle name="60% - 2. jelölőszín 3" xfId="52"/>
    <cellStyle name="60% - 3. jelölőszín 2" xfId="53"/>
    <cellStyle name="60% - 3. jelölőszín 3" xfId="54"/>
    <cellStyle name="60% - 4. jelölőszín 2" xfId="55"/>
    <cellStyle name="60% - 4. jelölőszín 3" xfId="56"/>
    <cellStyle name="60% - 5. jelölőszín 2" xfId="57"/>
    <cellStyle name="60% - 5. jelölőszín 3" xfId="58"/>
    <cellStyle name="60% - 6. jelölőszín 2" xfId="59"/>
    <cellStyle name="60% - 6. jelölőszín 3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Accent1" xfId="67"/>
    <cellStyle name="Accent2" xfId="68"/>
    <cellStyle name="Accent3" xfId="69"/>
    <cellStyle name="Accent4" xfId="70"/>
    <cellStyle name="Accent5" xfId="71"/>
    <cellStyle name="Accent6" xfId="72"/>
    <cellStyle name="Bad" xfId="73"/>
    <cellStyle name="Bevitel 2" xfId="74"/>
    <cellStyle name="Bevitel 3" xfId="75"/>
    <cellStyle name="Calculation" xfId="76"/>
    <cellStyle name="Check Cell" xfId="77"/>
    <cellStyle name="Cím 2" xfId="78"/>
    <cellStyle name="Cím 3" xfId="79"/>
    <cellStyle name="Címsor 1 2" xfId="80"/>
    <cellStyle name="Címsor 1 3" xfId="81"/>
    <cellStyle name="Címsor 2 2" xfId="82"/>
    <cellStyle name="Címsor 2 3" xfId="83"/>
    <cellStyle name="Címsor 3 2" xfId="84"/>
    <cellStyle name="Címsor 3 3" xfId="85"/>
    <cellStyle name="Címsor 4 2" xfId="86"/>
    <cellStyle name="Címsor 4 3" xfId="87"/>
    <cellStyle name="Ellenőrzőcella 2" xfId="88"/>
    <cellStyle name="Ellenőrzőcella 3" xfId="89"/>
    <cellStyle name="Explanatory Text" xfId="90"/>
    <cellStyle name="Ezres 2" xfId="91"/>
    <cellStyle name="Ezres 2 2" xfId="92"/>
    <cellStyle name="Ezres 2 2 2" xfId="93"/>
    <cellStyle name="Ezres 2 2 2 2" xfId="294"/>
    <cellStyle name="Ezres 2 2 3" xfId="249"/>
    <cellStyle name="Ezres 2 3" xfId="94"/>
    <cellStyle name="Ezres 2 3 2" xfId="295"/>
    <cellStyle name="Ezres 2 4" xfId="194"/>
    <cellStyle name="Ezres 3" xfId="95"/>
    <cellStyle name="Ezres 3 2" xfId="96"/>
    <cellStyle name="Ezres 3 2 2" xfId="97"/>
    <cellStyle name="Ezres 3 2 2 2" xfId="296"/>
    <cellStyle name="Ezres 3 2 3" xfId="251"/>
    <cellStyle name="Ezres 3 3" xfId="98"/>
    <cellStyle name="Ezres 3 3 2" xfId="297"/>
    <cellStyle name="Ezres 3 4" xfId="250"/>
    <cellStyle name="Ezres 4" xfId="99"/>
    <cellStyle name="Ezres 4 2" xfId="100"/>
    <cellStyle name="Ezres 4 2 2" xfId="101"/>
    <cellStyle name="Ezres 4 2 2 2" xfId="190"/>
    <cellStyle name="Ezres 4 2 3" xfId="189"/>
    <cellStyle name="Ezres 4 3" xfId="188"/>
    <cellStyle name="Ezres 4 4" xfId="298"/>
    <cellStyle name="Ezres 5" xfId="102"/>
    <cellStyle name="Ezres 5 10" xfId="501"/>
    <cellStyle name="Ezres 5 11" xfId="737"/>
    <cellStyle name="Ezres 5 2" xfId="202"/>
    <cellStyle name="Ezres 5 2 2" xfId="220"/>
    <cellStyle name="Ezres 5 2 2 2" xfId="358"/>
    <cellStyle name="Ezres 5 2 2 2 2" xfId="496"/>
    <cellStyle name="Ezres 5 2 2 2 3" xfId="551"/>
    <cellStyle name="Ezres 5 2 2 2 4" xfId="787"/>
    <cellStyle name="Ezres 5 2 2 3" xfId="467"/>
    <cellStyle name="Ezres 5 2 2 4" xfId="524"/>
    <cellStyle name="Ezres 5 2 2 5" xfId="760"/>
    <cellStyle name="Ezres 5 2 3" xfId="238"/>
    <cellStyle name="Ezres 5 2 3 2" xfId="357"/>
    <cellStyle name="Ezres 5 2 3 2 2" xfId="491"/>
    <cellStyle name="Ezres 5 2 3 2 3" xfId="546"/>
    <cellStyle name="Ezres 5 2 3 2 4" xfId="782"/>
    <cellStyle name="Ezres 5 2 3 3" xfId="461"/>
    <cellStyle name="Ezres 5 2 3 4" xfId="519"/>
    <cellStyle name="Ezres 5 2 3 5" xfId="755"/>
    <cellStyle name="Ezres 5 2 4" xfId="274"/>
    <cellStyle name="Ezres 5 2 4 2" xfId="356"/>
    <cellStyle name="Ezres 5 2 4 2 2" xfId="666"/>
    <cellStyle name="Ezres 5 2 4 3" xfId="478"/>
    <cellStyle name="Ezres 5 2 4 4" xfId="534"/>
    <cellStyle name="Ezres 5 2 4 5" xfId="770"/>
    <cellStyle name="Ezres 5 2 5" xfId="359"/>
    <cellStyle name="Ezres 5 2 5 2" xfId="667"/>
    <cellStyle name="Ezres 5 2 6" xfId="439"/>
    <cellStyle name="Ezres 5 2 7" xfId="507"/>
    <cellStyle name="Ezres 5 2 8" xfId="743"/>
    <cellStyle name="Ezres 5 3" xfId="212"/>
    <cellStyle name="Ezres 5 3 2" xfId="230"/>
    <cellStyle name="Ezres 5 3 2 2" xfId="354"/>
    <cellStyle name="Ezres 5 3 2 2 2" xfId="664"/>
    <cellStyle name="Ezres 5 3 2 3" xfId="488"/>
    <cellStyle name="Ezres 5 3 2 4" xfId="544"/>
    <cellStyle name="Ezres 5 3 2 5" xfId="780"/>
    <cellStyle name="Ezres 5 3 3" xfId="248"/>
    <cellStyle name="Ezres 5 3 3 2" xfId="353"/>
    <cellStyle name="Ezres 5 3 3 2 2" xfId="663"/>
    <cellStyle name="Ezres 5 3 3 3" xfId="583"/>
    <cellStyle name="Ezres 5 3 4" xfId="284"/>
    <cellStyle name="Ezres 5 3 4 2" xfId="352"/>
    <cellStyle name="Ezres 5 3 4 2 2" xfId="662"/>
    <cellStyle name="Ezres 5 3 4 3" xfId="608"/>
    <cellStyle name="Ezres 5 3 5" xfId="355"/>
    <cellStyle name="Ezres 5 3 5 2" xfId="665"/>
    <cellStyle name="Ezres 5 3 6" xfId="449"/>
    <cellStyle name="Ezres 5 3 7" xfId="517"/>
    <cellStyle name="Ezres 5 3 8" xfId="753"/>
    <cellStyle name="Ezres 5 4" xfId="193"/>
    <cellStyle name="Ezres 5 4 2" xfId="351"/>
    <cellStyle name="Ezres 5 4 2 2" xfId="661"/>
    <cellStyle name="Ezres 5 4 3" xfId="453"/>
    <cellStyle name="Ezres 5 4 4" xfId="563"/>
    <cellStyle name="Ezres 5 5" xfId="214"/>
    <cellStyle name="Ezres 5 5 2" xfId="350"/>
    <cellStyle name="Ezres 5 5 2 2" xfId="660"/>
    <cellStyle name="Ezres 5 5 3" xfId="472"/>
    <cellStyle name="Ezres 5 5 4" xfId="528"/>
    <cellStyle name="Ezres 5 5 5" xfId="764"/>
    <cellStyle name="Ezres 5 6" xfId="232"/>
    <cellStyle name="Ezres 5 6 2" xfId="349"/>
    <cellStyle name="Ezres 5 6 2 2" xfId="659"/>
    <cellStyle name="Ezres 5 6 3" xfId="573"/>
    <cellStyle name="Ezres 5 7" xfId="268"/>
    <cellStyle name="Ezres 5 7 2" xfId="348"/>
    <cellStyle name="Ezres 5 7 2 2" xfId="658"/>
    <cellStyle name="Ezres 5 7 3" xfId="594"/>
    <cellStyle name="Ezres 5 8" xfId="299"/>
    <cellStyle name="Ezres 5 9" xfId="433"/>
    <cellStyle name="Ezres 6" xfId="198"/>
    <cellStyle name="Ezres 6 10" xfId="739"/>
    <cellStyle name="Ezres 6 2" xfId="204"/>
    <cellStyle name="Ezres 6 2 2" xfId="222"/>
    <cellStyle name="Ezres 6 2 2 2" xfId="345"/>
    <cellStyle name="Ezres 6 2 2 2 2" xfId="498"/>
    <cellStyle name="Ezres 6 2 2 2 3" xfId="553"/>
    <cellStyle name="Ezres 6 2 2 2 4" xfId="789"/>
    <cellStyle name="Ezres 6 2 2 3" xfId="469"/>
    <cellStyle name="Ezres 6 2 2 4" xfId="526"/>
    <cellStyle name="Ezres 6 2 2 5" xfId="762"/>
    <cellStyle name="Ezres 6 2 3" xfId="240"/>
    <cellStyle name="Ezres 6 2 3 2" xfId="344"/>
    <cellStyle name="Ezres 6 2 3 2 2" xfId="493"/>
    <cellStyle name="Ezres 6 2 3 2 3" xfId="548"/>
    <cellStyle name="Ezres 6 2 3 2 4" xfId="784"/>
    <cellStyle name="Ezres 6 2 3 3" xfId="464"/>
    <cellStyle name="Ezres 6 2 3 4" xfId="521"/>
    <cellStyle name="Ezres 6 2 3 5" xfId="757"/>
    <cellStyle name="Ezres 6 2 4" xfId="276"/>
    <cellStyle name="Ezres 6 2 4 2" xfId="343"/>
    <cellStyle name="Ezres 6 2 4 2 2" xfId="655"/>
    <cellStyle name="Ezres 6 2 4 3" xfId="480"/>
    <cellStyle name="Ezres 6 2 4 4" xfId="536"/>
    <cellStyle name="Ezres 6 2 4 5" xfId="772"/>
    <cellStyle name="Ezres 6 2 5" xfId="346"/>
    <cellStyle name="Ezres 6 2 5 2" xfId="656"/>
    <cellStyle name="Ezres 6 2 6" xfId="441"/>
    <cellStyle name="Ezres 6 2 7" xfId="509"/>
    <cellStyle name="Ezres 6 2 8" xfId="745"/>
    <cellStyle name="Ezres 6 3" xfId="208"/>
    <cellStyle name="Ezres 6 3 2" xfId="226"/>
    <cellStyle name="Ezres 6 3 2 2" xfId="341"/>
    <cellStyle name="Ezres 6 3 2 2 2" xfId="653"/>
    <cellStyle name="Ezres 6 3 2 3" xfId="484"/>
    <cellStyle name="Ezres 6 3 2 4" xfId="540"/>
    <cellStyle name="Ezres 6 3 2 5" xfId="776"/>
    <cellStyle name="Ezres 6 3 3" xfId="244"/>
    <cellStyle name="Ezres 6 3 3 2" xfId="340"/>
    <cellStyle name="Ezres 6 3 3 2 2" xfId="652"/>
    <cellStyle name="Ezres 6 3 3 3" xfId="579"/>
    <cellStyle name="Ezres 6 3 4" xfId="280"/>
    <cellStyle name="Ezres 6 3 4 2" xfId="339"/>
    <cellStyle name="Ezres 6 3 4 2 2" xfId="651"/>
    <cellStyle name="Ezres 6 3 4 3" xfId="604"/>
    <cellStyle name="Ezres 6 3 5" xfId="342"/>
    <cellStyle name="Ezres 6 3 5 2" xfId="654"/>
    <cellStyle name="Ezres 6 3 6" xfId="445"/>
    <cellStyle name="Ezres 6 3 7" xfId="513"/>
    <cellStyle name="Ezres 6 3 8" xfId="749"/>
    <cellStyle name="Ezres 6 4" xfId="216"/>
    <cellStyle name="Ezres 6 4 2" xfId="338"/>
    <cellStyle name="Ezres 6 4 2 2" xfId="650"/>
    <cellStyle name="Ezres 6 4 3" xfId="458"/>
    <cellStyle name="Ezres 6 4 4" xfId="566"/>
    <cellStyle name="Ezres 6 5" xfId="234"/>
    <cellStyle name="Ezres 6 5 2" xfId="337"/>
    <cellStyle name="Ezres 6 5 2 2" xfId="649"/>
    <cellStyle name="Ezres 6 5 3" xfId="474"/>
    <cellStyle name="Ezres 6 5 4" xfId="530"/>
    <cellStyle name="Ezres 6 5 5" xfId="766"/>
    <cellStyle name="Ezres 6 6" xfId="270"/>
    <cellStyle name="Ezres 6 6 2" xfId="336"/>
    <cellStyle name="Ezres 6 6 2 2" xfId="648"/>
    <cellStyle name="Ezres 6 6 3" xfId="596"/>
    <cellStyle name="Ezres 6 7" xfId="347"/>
    <cellStyle name="Ezres 6 7 2" xfId="657"/>
    <cellStyle name="Ezres 6 8" xfId="435"/>
    <cellStyle name="Ezres 6 9" xfId="503"/>
    <cellStyle name="Ezres 7" xfId="200"/>
    <cellStyle name="Ezres 7 10" xfId="741"/>
    <cellStyle name="Ezres 7 2" xfId="206"/>
    <cellStyle name="Ezres 7 2 2" xfId="224"/>
    <cellStyle name="Ezres 7 2 2 2" xfId="333"/>
    <cellStyle name="Ezres 7 2 2 2 2" xfId="645"/>
    <cellStyle name="Ezres 7 2 2 3" xfId="482"/>
    <cellStyle name="Ezres 7 2 2 4" xfId="538"/>
    <cellStyle name="Ezres 7 2 2 5" xfId="774"/>
    <cellStyle name="Ezres 7 2 3" xfId="242"/>
    <cellStyle name="Ezres 7 2 3 2" xfId="332"/>
    <cellStyle name="Ezres 7 2 3 2 2" xfId="644"/>
    <cellStyle name="Ezres 7 2 3 3" xfId="577"/>
    <cellStyle name="Ezres 7 2 4" xfId="278"/>
    <cellStyle name="Ezres 7 2 4 2" xfId="331"/>
    <cellStyle name="Ezres 7 2 4 2 2" xfId="643"/>
    <cellStyle name="Ezres 7 2 4 3" xfId="602"/>
    <cellStyle name="Ezres 7 2 5" xfId="334"/>
    <cellStyle name="Ezres 7 2 5 2" xfId="646"/>
    <cellStyle name="Ezres 7 2 6" xfId="443"/>
    <cellStyle name="Ezres 7 2 7" xfId="511"/>
    <cellStyle name="Ezres 7 2 8" xfId="747"/>
    <cellStyle name="Ezres 7 3" xfId="210"/>
    <cellStyle name="Ezres 7 3 2" xfId="228"/>
    <cellStyle name="Ezres 7 3 2 2" xfId="329"/>
    <cellStyle name="Ezres 7 3 2 2 2" xfId="641"/>
    <cellStyle name="Ezres 7 3 2 3" xfId="486"/>
    <cellStyle name="Ezres 7 3 2 4" xfId="542"/>
    <cellStyle name="Ezres 7 3 2 5" xfId="778"/>
    <cellStyle name="Ezres 7 3 3" xfId="246"/>
    <cellStyle name="Ezres 7 3 3 2" xfId="328"/>
    <cellStyle name="Ezres 7 3 3 2 2" xfId="640"/>
    <cellStyle name="Ezres 7 3 3 3" xfId="581"/>
    <cellStyle name="Ezres 7 3 4" xfId="282"/>
    <cellStyle name="Ezres 7 3 4 2" xfId="327"/>
    <cellStyle name="Ezres 7 3 4 2 2" xfId="639"/>
    <cellStyle name="Ezres 7 3 4 3" xfId="606"/>
    <cellStyle name="Ezres 7 3 5" xfId="330"/>
    <cellStyle name="Ezres 7 3 5 2" xfId="642"/>
    <cellStyle name="Ezres 7 3 6" xfId="447"/>
    <cellStyle name="Ezres 7 3 7" xfId="515"/>
    <cellStyle name="Ezres 7 3 8" xfId="751"/>
    <cellStyle name="Ezres 7 4" xfId="218"/>
    <cellStyle name="Ezres 7 4 2" xfId="326"/>
    <cellStyle name="Ezres 7 4 2 2" xfId="638"/>
    <cellStyle name="Ezres 7 4 3" xfId="456"/>
    <cellStyle name="Ezres 7 4 4" xfId="567"/>
    <cellStyle name="Ezres 7 5" xfId="236"/>
    <cellStyle name="Ezres 7 5 2" xfId="325"/>
    <cellStyle name="Ezres 7 5 2 2" xfId="637"/>
    <cellStyle name="Ezres 7 5 3" xfId="476"/>
    <cellStyle name="Ezres 7 5 4" xfId="532"/>
    <cellStyle name="Ezres 7 5 5" xfId="768"/>
    <cellStyle name="Ezres 7 6" xfId="272"/>
    <cellStyle name="Ezres 7 6 2" xfId="324"/>
    <cellStyle name="Ezres 7 6 2 2" xfId="636"/>
    <cellStyle name="Ezres 7 6 3" xfId="598"/>
    <cellStyle name="Ezres 7 7" xfId="335"/>
    <cellStyle name="Ezres 7 7 2" xfId="647"/>
    <cellStyle name="Ezres 7 8" xfId="437"/>
    <cellStyle name="Ezres 7 9" xfId="505"/>
    <cellStyle name="Ezres 8" xfId="191"/>
    <cellStyle name="Figyelmeztetés 2" xfId="103"/>
    <cellStyle name="Figyelmeztetés 3" xfId="104"/>
    <cellStyle name="Good" xfId="105"/>
    <cellStyle name="Heading 1" xfId="106"/>
    <cellStyle name="Heading 2" xfId="107"/>
    <cellStyle name="Heading 3" xfId="108"/>
    <cellStyle name="Heading 4" xfId="109"/>
    <cellStyle name="hetmál kút" xfId="110"/>
    <cellStyle name="Hiperhivatkozás" xfId="111"/>
    <cellStyle name="Hivatkozás" xfId="112" builtinId="8"/>
    <cellStyle name="Hivatkozott cella 2" xfId="113"/>
    <cellStyle name="Hivatkozott cella 3" xfId="114"/>
    <cellStyle name="Input" xfId="115"/>
    <cellStyle name="Jegyzet 2" xfId="116"/>
    <cellStyle name="Jegyzet 2 2" xfId="261"/>
    <cellStyle name="Jegyzet 3" xfId="117"/>
    <cellStyle name="Jegyzet 3 2" xfId="300"/>
    <cellStyle name="Jegyzet 4" xfId="252"/>
    <cellStyle name="Jelölőszín (1) 2" xfId="118"/>
    <cellStyle name="Jelölőszín (1) 3" xfId="119"/>
    <cellStyle name="Jelölőszín (2) 2" xfId="120"/>
    <cellStyle name="Jelölőszín (2) 3" xfId="121"/>
    <cellStyle name="Jelölőszín (3) 2" xfId="122"/>
    <cellStyle name="Jelölőszín (3) 3" xfId="123"/>
    <cellStyle name="Jelölőszín (4) 2" xfId="124"/>
    <cellStyle name="Jelölőszín (4) 3" xfId="125"/>
    <cellStyle name="Jelölőszín (5) 2" xfId="126"/>
    <cellStyle name="Jelölőszín (5) 3" xfId="127"/>
    <cellStyle name="Jelölőszín (6) 2" xfId="128"/>
    <cellStyle name="Jelölőszín (6) 3" xfId="129"/>
    <cellStyle name="Jó 2" xfId="130"/>
    <cellStyle name="Jó 3" xfId="131"/>
    <cellStyle name="Kimenet 2" xfId="132"/>
    <cellStyle name="Kimenet 3" xfId="133"/>
    <cellStyle name="Linked Cell" xfId="134"/>
    <cellStyle name="Magyarázó szöveg 2" xfId="135"/>
    <cellStyle name="Magyarázó szöveg 3" xfId="136"/>
    <cellStyle name="Már látott hiperhivatkozás" xfId="137"/>
    <cellStyle name="Neutral" xfId="138"/>
    <cellStyle name="Normál" xfId="0" builtinId="0"/>
    <cellStyle name="Normál 10" xfId="139"/>
    <cellStyle name="Normál 11" xfId="185"/>
    <cellStyle name="Normál 12" xfId="186"/>
    <cellStyle name="Normál 2" xfId="140"/>
    <cellStyle name="Normál 2 2" xfId="141"/>
    <cellStyle name="Normál 2 2 2" xfId="301"/>
    <cellStyle name="Normál 2 3" xfId="142"/>
    <cellStyle name="Normál 2 3 2" xfId="195"/>
    <cellStyle name="Normál 2 4" xfId="187"/>
    <cellStyle name="Normál 3" xfId="143"/>
    <cellStyle name="Normál 3 2" xfId="144"/>
    <cellStyle name="Normál 3 2 2" xfId="145"/>
    <cellStyle name="Normál 3 2 2 2" xfId="303"/>
    <cellStyle name="Normál 3 2 3" xfId="302"/>
    <cellStyle name="Normál 3 3" xfId="256"/>
    <cellStyle name="Normál 4" xfId="146"/>
    <cellStyle name="Normál 4 10" xfId="432"/>
    <cellStyle name="Normál 4 11" xfId="500"/>
    <cellStyle name="Normál 4 12" xfId="736"/>
    <cellStyle name="Normál 4 2" xfId="147"/>
    <cellStyle name="Normál 4 2 10" xfId="742"/>
    <cellStyle name="Normál 4 2 2" xfId="201"/>
    <cellStyle name="Normál 4 2 2 2" xfId="378"/>
    <cellStyle name="Normál 4 2 2 2 2" xfId="495"/>
    <cellStyle name="Normál 4 2 2 2 3" xfId="550"/>
    <cellStyle name="Normál 4 2 2 2 4" xfId="786"/>
    <cellStyle name="Normál 4 2 2 3" xfId="466"/>
    <cellStyle name="Normál 4 2 2 4" xfId="523"/>
    <cellStyle name="Normál 4 2 2 5" xfId="759"/>
    <cellStyle name="Normál 4 2 3" xfId="219"/>
    <cellStyle name="Normál 4 2 3 2" xfId="379"/>
    <cellStyle name="Normál 4 2 3 2 2" xfId="490"/>
    <cellStyle name="Normál 4 2 3 2 3" xfId="545"/>
    <cellStyle name="Normál 4 2 3 2 4" xfId="781"/>
    <cellStyle name="Normál 4 2 3 3" xfId="460"/>
    <cellStyle name="Normál 4 2 3 4" xfId="518"/>
    <cellStyle name="Normál 4 2 3 5" xfId="754"/>
    <cellStyle name="Normál 4 2 4" xfId="237"/>
    <cellStyle name="Normál 4 2 4 2" xfId="380"/>
    <cellStyle name="Normál 4 2 4 2 2" xfId="686"/>
    <cellStyle name="Normál 4 2 4 3" xfId="477"/>
    <cellStyle name="Normál 4 2 4 4" xfId="533"/>
    <cellStyle name="Normál 4 2 4 5" xfId="769"/>
    <cellStyle name="Normál 4 2 5" xfId="273"/>
    <cellStyle name="Normál 4 2 5 2" xfId="381"/>
    <cellStyle name="Normál 4 2 5 2 2" xfId="687"/>
    <cellStyle name="Normál 4 2 5 3" xfId="599"/>
    <cellStyle name="Normál 4 2 6" xfId="305"/>
    <cellStyle name="Normál 4 2 6 2" xfId="619"/>
    <cellStyle name="Normál 4 2 7" xfId="361"/>
    <cellStyle name="Normál 4 2 7 2" xfId="669"/>
    <cellStyle name="Normál 4 2 8" xfId="438"/>
    <cellStyle name="Normál 4 2 9" xfId="506"/>
    <cellStyle name="Normál 4 3" xfId="148"/>
    <cellStyle name="Normál 4 3 10" xfId="752"/>
    <cellStyle name="Normál 4 3 2" xfId="211"/>
    <cellStyle name="Normál 4 3 2 2" xfId="382"/>
    <cellStyle name="Normál 4 3 2 2 2" xfId="688"/>
    <cellStyle name="Normál 4 3 2 3" xfId="487"/>
    <cellStyle name="Normál 4 3 2 4" xfId="543"/>
    <cellStyle name="Normál 4 3 2 5" xfId="779"/>
    <cellStyle name="Normál 4 3 3" xfId="229"/>
    <cellStyle name="Normál 4 3 3 2" xfId="383"/>
    <cellStyle name="Normál 4 3 3 2 2" xfId="689"/>
    <cellStyle name="Normál 4 3 3 3" xfId="571"/>
    <cellStyle name="Normál 4 3 4" xfId="247"/>
    <cellStyle name="Normál 4 3 4 2" xfId="384"/>
    <cellStyle name="Normál 4 3 4 2 2" xfId="690"/>
    <cellStyle name="Normál 4 3 4 3" xfId="582"/>
    <cellStyle name="Normál 4 3 5" xfId="283"/>
    <cellStyle name="Normál 4 3 5 2" xfId="385"/>
    <cellStyle name="Normál 4 3 5 2 2" xfId="691"/>
    <cellStyle name="Normál 4 3 5 3" xfId="607"/>
    <cellStyle name="Normál 4 3 6" xfId="306"/>
    <cellStyle name="Normál 4 3 6 2" xfId="620"/>
    <cellStyle name="Normál 4 3 7" xfId="362"/>
    <cellStyle name="Normál 4 3 7 2" xfId="670"/>
    <cellStyle name="Normál 4 3 8" xfId="448"/>
    <cellStyle name="Normál 4 3 9" xfId="516"/>
    <cellStyle name="Normál 4 4" xfId="192"/>
    <cellStyle name="Normál 4 4 2" xfId="386"/>
    <cellStyle name="Normál 4 4 2 2" xfId="692"/>
    <cellStyle name="Normál 4 4 3" xfId="452"/>
    <cellStyle name="Normál 4 4 4" xfId="562"/>
    <cellStyle name="Normál 4 5" xfId="213"/>
    <cellStyle name="Normál 4 5 2" xfId="387"/>
    <cellStyle name="Normál 4 5 2 2" xfId="693"/>
    <cellStyle name="Normál 4 5 3" xfId="471"/>
    <cellStyle name="Normál 4 5 4" xfId="527"/>
    <cellStyle name="Normál 4 5 5" xfId="763"/>
    <cellStyle name="Normál 4 6" xfId="231"/>
    <cellStyle name="Normál 4 6 2" xfId="388"/>
    <cellStyle name="Normál 4 6 2 2" xfId="694"/>
    <cellStyle name="Normál 4 6 3" xfId="572"/>
    <cellStyle name="Normál 4 7" xfId="267"/>
    <cellStyle name="Normál 4 7 2" xfId="389"/>
    <cellStyle name="Normál 4 7 2 2" xfId="695"/>
    <cellStyle name="Normál 4 7 3" xfId="593"/>
    <cellStyle name="Normál 4 8" xfId="304"/>
    <cellStyle name="Normál 4 8 2" xfId="618"/>
    <cellStyle name="Normál 4 9" xfId="360"/>
    <cellStyle name="Normál 4 9 2" xfId="668"/>
    <cellStyle name="Normál 5" xfId="149"/>
    <cellStyle name="Normál 5 10" xfId="434"/>
    <cellStyle name="Normál 5 11" xfId="502"/>
    <cellStyle name="Normál 5 12" xfId="738"/>
    <cellStyle name="Normál 5 2" xfId="150"/>
    <cellStyle name="Normál 5 2 10" xfId="744"/>
    <cellStyle name="Normál 5 2 2" xfId="203"/>
    <cellStyle name="Normál 5 2 2 2" xfId="390"/>
    <cellStyle name="Normál 5 2 2 2 2" xfId="497"/>
    <cellStyle name="Normál 5 2 2 2 3" xfId="552"/>
    <cellStyle name="Normál 5 2 2 2 4" xfId="788"/>
    <cellStyle name="Normál 5 2 2 3" xfId="468"/>
    <cellStyle name="Normál 5 2 2 4" xfId="525"/>
    <cellStyle name="Normál 5 2 2 5" xfId="761"/>
    <cellStyle name="Normál 5 2 3" xfId="221"/>
    <cellStyle name="Normál 5 2 3 2" xfId="391"/>
    <cellStyle name="Normál 5 2 3 2 2" xfId="492"/>
    <cellStyle name="Normál 5 2 3 2 3" xfId="547"/>
    <cellStyle name="Normál 5 2 3 2 4" xfId="783"/>
    <cellStyle name="Normál 5 2 3 3" xfId="463"/>
    <cellStyle name="Normál 5 2 3 4" xfId="520"/>
    <cellStyle name="Normál 5 2 3 5" xfId="756"/>
    <cellStyle name="Normál 5 2 4" xfId="239"/>
    <cellStyle name="Normál 5 2 4 2" xfId="392"/>
    <cellStyle name="Normál 5 2 4 2 2" xfId="696"/>
    <cellStyle name="Normál 5 2 4 3" xfId="479"/>
    <cellStyle name="Normál 5 2 4 4" xfId="535"/>
    <cellStyle name="Normál 5 2 4 5" xfId="771"/>
    <cellStyle name="Normál 5 2 5" xfId="275"/>
    <cellStyle name="Normál 5 2 5 2" xfId="393"/>
    <cellStyle name="Normál 5 2 5 2 2" xfId="697"/>
    <cellStyle name="Normál 5 2 5 3" xfId="600"/>
    <cellStyle name="Normál 5 2 6" xfId="308"/>
    <cellStyle name="Normál 5 2 6 2" xfId="622"/>
    <cellStyle name="Normál 5 2 7" xfId="364"/>
    <cellStyle name="Normál 5 2 7 2" xfId="672"/>
    <cellStyle name="Normál 5 2 8" xfId="440"/>
    <cellStyle name="Normál 5 2 9" xfId="508"/>
    <cellStyle name="Normál 5 3" xfId="151"/>
    <cellStyle name="Normál 5 3 10" xfId="748"/>
    <cellStyle name="Normál 5 3 2" xfId="207"/>
    <cellStyle name="Normál 5 3 2 2" xfId="394"/>
    <cellStyle name="Normál 5 3 2 2 2" xfId="698"/>
    <cellStyle name="Normál 5 3 2 3" xfId="483"/>
    <cellStyle name="Normál 5 3 2 4" xfId="539"/>
    <cellStyle name="Normál 5 3 2 5" xfId="775"/>
    <cellStyle name="Normál 5 3 3" xfId="225"/>
    <cellStyle name="Normál 5 3 3 2" xfId="395"/>
    <cellStyle name="Normál 5 3 3 2 2" xfId="699"/>
    <cellStyle name="Normál 5 3 3 3" xfId="569"/>
    <cellStyle name="Normál 5 3 4" xfId="243"/>
    <cellStyle name="Normál 5 3 4 2" xfId="396"/>
    <cellStyle name="Normál 5 3 4 2 2" xfId="700"/>
    <cellStyle name="Normál 5 3 4 3" xfId="578"/>
    <cellStyle name="Normál 5 3 5" xfId="279"/>
    <cellStyle name="Normál 5 3 5 2" xfId="397"/>
    <cellStyle name="Normál 5 3 5 2 2" xfId="701"/>
    <cellStyle name="Normál 5 3 5 3" xfId="603"/>
    <cellStyle name="Normál 5 3 6" xfId="309"/>
    <cellStyle name="Normál 5 3 6 2" xfId="623"/>
    <cellStyle name="Normál 5 3 7" xfId="365"/>
    <cellStyle name="Normál 5 3 7 2" xfId="673"/>
    <cellStyle name="Normál 5 3 8" xfId="444"/>
    <cellStyle name="Normál 5 3 9" xfId="512"/>
    <cellStyle name="Normál 5 4" xfId="197"/>
    <cellStyle name="Normál 5 4 2" xfId="398"/>
    <cellStyle name="Normál 5 4 2 2" xfId="702"/>
    <cellStyle name="Normál 5 4 3" xfId="457"/>
    <cellStyle name="Normál 5 4 4" xfId="564"/>
    <cellStyle name="Normál 5 5" xfId="215"/>
    <cellStyle name="Normál 5 5 2" xfId="399"/>
    <cellStyle name="Normál 5 5 2 2" xfId="703"/>
    <cellStyle name="Normál 5 5 3" xfId="473"/>
    <cellStyle name="Normál 5 5 4" xfId="529"/>
    <cellStyle name="Normál 5 5 5" xfId="765"/>
    <cellStyle name="Normál 5 6" xfId="233"/>
    <cellStyle name="Normál 5 6 2" xfId="400"/>
    <cellStyle name="Normál 5 6 2 2" xfId="704"/>
    <cellStyle name="Normál 5 6 3" xfId="574"/>
    <cellStyle name="Normál 5 7" xfId="269"/>
    <cellStyle name="Normál 5 7 2" xfId="401"/>
    <cellStyle name="Normál 5 7 2 2" xfId="705"/>
    <cellStyle name="Normál 5 7 3" xfId="595"/>
    <cellStyle name="Normál 5 8" xfId="307"/>
    <cellStyle name="Normál 5 8 2" xfId="621"/>
    <cellStyle name="Normál 5 9" xfId="363"/>
    <cellStyle name="Normál 5 9 2" xfId="671"/>
    <cellStyle name="Normál 6" xfId="152"/>
    <cellStyle name="Normál 6 10" xfId="436"/>
    <cellStyle name="Normál 6 11" xfId="504"/>
    <cellStyle name="Normál 6 12" xfId="740"/>
    <cellStyle name="Normál 6 2" xfId="153"/>
    <cellStyle name="Normál 6 2 10" xfId="746"/>
    <cellStyle name="Normál 6 2 2" xfId="205"/>
    <cellStyle name="Normál 6 2 2 2" xfId="402"/>
    <cellStyle name="Normál 6 2 2 2 2" xfId="706"/>
    <cellStyle name="Normál 6 2 2 3" xfId="481"/>
    <cellStyle name="Normál 6 2 2 4" xfId="537"/>
    <cellStyle name="Normál 6 2 2 5" xfId="773"/>
    <cellStyle name="Normál 6 2 3" xfId="223"/>
    <cellStyle name="Normál 6 2 3 2" xfId="403"/>
    <cellStyle name="Normál 6 2 3 2 2" xfId="707"/>
    <cellStyle name="Normál 6 2 3 3" xfId="568"/>
    <cellStyle name="Normál 6 2 4" xfId="241"/>
    <cellStyle name="Normál 6 2 4 2" xfId="404"/>
    <cellStyle name="Normál 6 2 4 2 2" xfId="708"/>
    <cellStyle name="Normál 6 2 4 3" xfId="576"/>
    <cellStyle name="Normál 6 2 5" xfId="277"/>
    <cellStyle name="Normál 6 2 5 2" xfId="405"/>
    <cellStyle name="Normál 6 2 5 2 2" xfId="709"/>
    <cellStyle name="Normál 6 2 5 3" xfId="601"/>
    <cellStyle name="Normál 6 2 6" xfId="311"/>
    <cellStyle name="Normál 6 2 6 2" xfId="625"/>
    <cellStyle name="Normál 6 2 7" xfId="367"/>
    <cellStyle name="Normál 6 2 7 2" xfId="675"/>
    <cellStyle name="Normál 6 2 8" xfId="442"/>
    <cellStyle name="Normál 6 2 9" xfId="510"/>
    <cellStyle name="Normál 6 3" xfId="154"/>
    <cellStyle name="Normál 6 3 10" xfId="750"/>
    <cellStyle name="Normál 6 3 2" xfId="209"/>
    <cellStyle name="Normál 6 3 2 2" xfId="406"/>
    <cellStyle name="Normál 6 3 2 2 2" xfId="710"/>
    <cellStyle name="Normál 6 3 2 3" xfId="485"/>
    <cellStyle name="Normál 6 3 2 4" xfId="541"/>
    <cellStyle name="Normál 6 3 2 5" xfId="777"/>
    <cellStyle name="Normál 6 3 3" xfId="227"/>
    <cellStyle name="Normál 6 3 3 2" xfId="407"/>
    <cellStyle name="Normál 6 3 3 2 2" xfId="711"/>
    <cellStyle name="Normál 6 3 3 3" xfId="570"/>
    <cellStyle name="Normál 6 3 4" xfId="245"/>
    <cellStyle name="Normál 6 3 4 2" xfId="408"/>
    <cellStyle name="Normál 6 3 4 2 2" xfId="712"/>
    <cellStyle name="Normál 6 3 4 3" xfId="580"/>
    <cellStyle name="Normál 6 3 5" xfId="281"/>
    <cellStyle name="Normál 6 3 5 2" xfId="409"/>
    <cellStyle name="Normál 6 3 5 2 2" xfId="713"/>
    <cellStyle name="Normál 6 3 5 3" xfId="605"/>
    <cellStyle name="Normál 6 3 6" xfId="312"/>
    <cellStyle name="Normál 6 3 6 2" xfId="626"/>
    <cellStyle name="Normál 6 3 7" xfId="368"/>
    <cellStyle name="Normál 6 3 7 2" xfId="676"/>
    <cellStyle name="Normál 6 3 8" xfId="446"/>
    <cellStyle name="Normál 6 3 9" xfId="514"/>
    <cellStyle name="Normál 6 4" xfId="199"/>
    <cellStyle name="Normál 6 4 2" xfId="410"/>
    <cellStyle name="Normál 6 4 2 2" xfId="714"/>
    <cellStyle name="Normál 6 4 3" xfId="455"/>
    <cellStyle name="Normál 6 4 4" xfId="565"/>
    <cellStyle name="Normál 6 5" xfId="217"/>
    <cellStyle name="Normál 6 5 2" xfId="411"/>
    <cellStyle name="Normál 6 5 2 2" xfId="715"/>
    <cellStyle name="Normál 6 5 3" xfId="475"/>
    <cellStyle name="Normál 6 5 4" xfId="531"/>
    <cellStyle name="Normál 6 5 5" xfId="767"/>
    <cellStyle name="Normál 6 6" xfId="235"/>
    <cellStyle name="Normál 6 6 2" xfId="412"/>
    <cellStyle name="Normál 6 6 2 2" xfId="716"/>
    <cellStyle name="Normál 6 6 3" xfId="575"/>
    <cellStyle name="Normál 6 7" xfId="271"/>
    <cellStyle name="Normál 6 7 2" xfId="413"/>
    <cellStyle name="Normál 6 7 2 2" xfId="717"/>
    <cellStyle name="Normál 6 7 3" xfId="597"/>
    <cellStyle name="Normál 6 8" xfId="310"/>
    <cellStyle name="Normál 6 8 2" xfId="624"/>
    <cellStyle name="Normál 6 9" xfId="366"/>
    <cellStyle name="Normál 6 9 2" xfId="674"/>
    <cellStyle name="Normál 7" xfId="155"/>
    <cellStyle name="Normál 7 2" xfId="156"/>
    <cellStyle name="Normál 7 2 2" xfId="314"/>
    <cellStyle name="Normál 7 2 2 2" xfId="494"/>
    <cellStyle name="Normál 7 2 2 3" xfId="549"/>
    <cellStyle name="Normál 7 2 2 4" xfId="785"/>
    <cellStyle name="Normál 7 2 3" xfId="465"/>
    <cellStyle name="Normál 7 2 4" xfId="522"/>
    <cellStyle name="Normál 7 2 5" xfId="758"/>
    <cellStyle name="Normál 7 3" xfId="157"/>
    <cellStyle name="Normál 7 3 2" xfId="266"/>
    <cellStyle name="Normál 7 3 2 2" xfId="414"/>
    <cellStyle name="Normál 7 3 2 2 2" xfId="718"/>
    <cellStyle name="Normál 7 3 2 3" xfId="592"/>
    <cellStyle name="Normál 7 3 3" xfId="293"/>
    <cellStyle name="Normál 7 3 3 2" xfId="415"/>
    <cellStyle name="Normál 7 3 3 2 2" xfId="719"/>
    <cellStyle name="Normál 7 3 3 3" xfId="617"/>
    <cellStyle name="Normál 7 3 4" xfId="315"/>
    <cellStyle name="Normál 7 3 4 2" xfId="628"/>
    <cellStyle name="Normál 7 3 5" xfId="370"/>
    <cellStyle name="Normál 7 3 5 2" xfId="678"/>
    <cellStyle name="Normál 7 3 6" xfId="489"/>
    <cellStyle name="Normál 7 3 7" xfId="554"/>
    <cellStyle name="Normál 7 4" xfId="259"/>
    <cellStyle name="Normál 7 4 2" xfId="416"/>
    <cellStyle name="Normál 7 4 2 2" xfId="720"/>
    <cellStyle name="Normál 7 4 3" xfId="586"/>
    <cellStyle name="Normál 7 5" xfId="287"/>
    <cellStyle name="Normál 7 5 2" xfId="417"/>
    <cellStyle name="Normál 7 5 2 2" xfId="721"/>
    <cellStyle name="Normál 7 5 3" xfId="611"/>
    <cellStyle name="Normál 7 6" xfId="313"/>
    <cellStyle name="Normál 7 6 2" xfId="627"/>
    <cellStyle name="Normál 7 7" xfId="369"/>
    <cellStyle name="Normál 7 7 2" xfId="677"/>
    <cellStyle name="Normál 7 8" xfId="450"/>
    <cellStyle name="Normál 7 9" xfId="470"/>
    <cellStyle name="Normál 8" xfId="158"/>
    <cellStyle name="Normál 8 2" xfId="260"/>
    <cellStyle name="Normál 8 2 2" xfId="418"/>
    <cellStyle name="Normál 8 2 2 2" xfId="722"/>
    <cellStyle name="Normál 8 2 3" xfId="587"/>
    <cellStyle name="Normál 8 3" xfId="288"/>
    <cellStyle name="Normál 8 3 2" xfId="419"/>
    <cellStyle name="Normál 8 3 2 2" xfId="723"/>
    <cellStyle name="Normál 8 3 3" xfId="612"/>
    <cellStyle name="Normál 8 4" xfId="316"/>
    <cellStyle name="Normál 8 4 2" xfId="629"/>
    <cellStyle name="Normál 8 5" xfId="371"/>
    <cellStyle name="Normál 8 5 2" xfId="679"/>
    <cellStyle name="Normál 8 6" xfId="451"/>
    <cellStyle name="Normál 8 7" xfId="555"/>
    <cellStyle name="Normál 9" xfId="159"/>
    <cellStyle name="Normál_2013.évi normatíva költségvetéshez 2" xfId="499"/>
    <cellStyle name="Normal_KARSZJ3" xfId="160"/>
    <cellStyle name="Normál_KVRENMUNKA" xfId="161"/>
    <cellStyle name="Normál_VAGYONK" xfId="162"/>
    <cellStyle name="Normál_VAGYONK 2" xfId="317"/>
    <cellStyle name="Normál_VAGYONKIM" xfId="163"/>
    <cellStyle name="Normál_ZARSZREND12" xfId="253"/>
    <cellStyle name="Normál_ZARSZREND14" xfId="164"/>
    <cellStyle name="Normál_ZARSZREND14 2" xfId="254"/>
    <cellStyle name="Note" xfId="165"/>
    <cellStyle name="Note 2" xfId="255"/>
    <cellStyle name="Output" xfId="166"/>
    <cellStyle name="Összesen 2" xfId="167"/>
    <cellStyle name="Összesen 3" xfId="168"/>
    <cellStyle name="Rossz 2" xfId="169"/>
    <cellStyle name="Rossz 3" xfId="170"/>
    <cellStyle name="Semleges 2" xfId="171"/>
    <cellStyle name="Semleges 3" xfId="172"/>
    <cellStyle name="Számítás 2" xfId="173"/>
    <cellStyle name="Számítás 3" xfId="174"/>
    <cellStyle name="Százalék" xfId="790" builtinId="5"/>
    <cellStyle name="Százalék 2" xfId="175"/>
    <cellStyle name="Százalék 2 2" xfId="176"/>
    <cellStyle name="Százalék 2 2 2" xfId="262"/>
    <cellStyle name="Százalék 2 2 2 2" xfId="420"/>
    <cellStyle name="Százalék 2 2 2 2 2" xfId="724"/>
    <cellStyle name="Százalék 2 2 2 3" xfId="588"/>
    <cellStyle name="Százalék 2 2 3" xfId="289"/>
    <cellStyle name="Százalék 2 2 3 2" xfId="421"/>
    <cellStyle name="Százalék 2 2 3 2 2" xfId="725"/>
    <cellStyle name="Százalék 2 2 3 3" xfId="613"/>
    <cellStyle name="Százalék 2 2 4" xfId="318"/>
    <cellStyle name="Százalék 2 2 4 2" xfId="630"/>
    <cellStyle name="Százalék 2 2 5" xfId="372"/>
    <cellStyle name="Százalék 2 2 5 2" xfId="680"/>
    <cellStyle name="Százalék 2 2 6" xfId="462"/>
    <cellStyle name="Százalék 2 2 7" xfId="556"/>
    <cellStyle name="Százalék 2 3" xfId="177"/>
    <cellStyle name="Százalék 2 3 2" xfId="264"/>
    <cellStyle name="Százalék 2 3 2 2" xfId="422"/>
    <cellStyle name="Százalék 2 3 2 2 2" xfId="726"/>
    <cellStyle name="Százalék 2 3 2 3" xfId="590"/>
    <cellStyle name="Százalék 2 3 3" xfId="291"/>
    <cellStyle name="Százalék 2 3 3 2" xfId="423"/>
    <cellStyle name="Százalék 2 3 3 2 2" xfId="727"/>
    <cellStyle name="Százalék 2 3 3 3" xfId="615"/>
    <cellStyle name="Százalék 2 3 4" xfId="319"/>
    <cellStyle name="Százalék 2 3 4 2" xfId="631"/>
    <cellStyle name="Százalék 2 3 5" xfId="373"/>
    <cellStyle name="Százalék 2 3 5 2" xfId="681"/>
    <cellStyle name="Százalék 2 3 6" xfId="459"/>
    <cellStyle name="Százalék 2 3 7" xfId="557"/>
    <cellStyle name="Százalék 2 4" xfId="178"/>
    <cellStyle name="Százalék 2 4 2" xfId="320"/>
    <cellStyle name="Százalék 2 4 2 2" xfId="632"/>
    <cellStyle name="Százalék 2 4 3" xfId="374"/>
    <cellStyle name="Százalék 2 4 3 2" xfId="682"/>
    <cellStyle name="Százalék 2 4 4" xfId="558"/>
    <cellStyle name="Százalék 2 5" xfId="196"/>
    <cellStyle name="Százalék 2 6" xfId="257"/>
    <cellStyle name="Százalék 2 6 2" xfId="424"/>
    <cellStyle name="Százalék 2 6 2 2" xfId="728"/>
    <cellStyle name="Százalék 2 6 3" xfId="584"/>
    <cellStyle name="Százalék 2 7" xfId="285"/>
    <cellStyle name="Százalék 2 7 2" xfId="425"/>
    <cellStyle name="Százalék 2 7 2 2" xfId="729"/>
    <cellStyle name="Százalék 2 7 3" xfId="609"/>
    <cellStyle name="Százalék 3" xfId="179"/>
    <cellStyle name="Százalék 3 2" xfId="180"/>
    <cellStyle name="Százalék 3 2 2" xfId="263"/>
    <cellStyle name="Százalék 3 2 2 2" xfId="426"/>
    <cellStyle name="Százalék 3 2 2 2 2" xfId="730"/>
    <cellStyle name="Százalék 3 2 2 3" xfId="589"/>
    <cellStyle name="Százalék 3 2 3" xfId="290"/>
    <cellStyle name="Százalék 3 2 3 2" xfId="427"/>
    <cellStyle name="Százalék 3 2 3 2 2" xfId="731"/>
    <cellStyle name="Százalék 3 2 3 3" xfId="614"/>
    <cellStyle name="Százalék 3 2 4" xfId="322"/>
    <cellStyle name="Százalék 3 2 4 2" xfId="634"/>
    <cellStyle name="Százalék 3 2 5" xfId="376"/>
    <cellStyle name="Százalék 3 2 5 2" xfId="684"/>
    <cellStyle name="Százalék 3 2 6" xfId="560"/>
    <cellStyle name="Százalék 3 3" xfId="181"/>
    <cellStyle name="Százalék 3 3 2" xfId="265"/>
    <cellStyle name="Százalék 3 3 2 2" xfId="428"/>
    <cellStyle name="Százalék 3 3 2 2 2" xfId="732"/>
    <cellStyle name="Százalék 3 3 2 3" xfId="591"/>
    <cellStyle name="Százalék 3 3 3" xfId="292"/>
    <cellStyle name="Százalék 3 3 3 2" xfId="429"/>
    <cellStyle name="Százalék 3 3 3 2 2" xfId="733"/>
    <cellStyle name="Százalék 3 3 3 3" xfId="616"/>
    <cellStyle name="Százalék 3 3 4" xfId="323"/>
    <cellStyle name="Százalék 3 3 4 2" xfId="635"/>
    <cellStyle name="Százalék 3 3 5" xfId="377"/>
    <cellStyle name="Százalék 3 3 5 2" xfId="685"/>
    <cellStyle name="Százalék 3 3 6" xfId="561"/>
    <cellStyle name="Százalék 3 4" xfId="258"/>
    <cellStyle name="Százalék 3 4 2" xfId="430"/>
    <cellStyle name="Százalék 3 4 2 2" xfId="734"/>
    <cellStyle name="Százalék 3 4 3" xfId="585"/>
    <cellStyle name="Százalék 3 5" xfId="286"/>
    <cellStyle name="Százalék 3 5 2" xfId="431"/>
    <cellStyle name="Százalék 3 5 2 2" xfId="735"/>
    <cellStyle name="Százalék 3 5 3" xfId="610"/>
    <cellStyle name="Százalék 3 6" xfId="321"/>
    <cellStyle name="Százalék 3 6 2" xfId="633"/>
    <cellStyle name="Százalék 3 7" xfId="375"/>
    <cellStyle name="Százalék 3 7 2" xfId="683"/>
    <cellStyle name="Százalék 3 8" xfId="454"/>
    <cellStyle name="Százalék 3 9" xfId="559"/>
    <cellStyle name="Title" xfId="182"/>
    <cellStyle name="Total" xfId="183"/>
    <cellStyle name="Warning Text" xfId="184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C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1</xdr:row>
      <xdr:rowOff>104775</xdr:rowOff>
    </xdr:from>
    <xdr:to>
      <xdr:col>22</xdr:col>
      <xdr:colOff>266700</xdr:colOff>
      <xdr:row>16</xdr:row>
      <xdr:rowOff>133350</xdr:rowOff>
    </xdr:to>
    <xdr:grpSp>
      <xdr:nvGrpSpPr>
        <xdr:cNvPr id="3702" name="Csoportba foglalás 11">
          <a:extLst>
            <a:ext uri="{FF2B5EF4-FFF2-40B4-BE49-F238E27FC236}">
              <a16:creationId xmlns="" xmlns:a16="http://schemas.microsoft.com/office/drawing/2014/main" id="{00000000-0008-0000-0100-0000760E0000}"/>
            </a:ext>
          </a:extLst>
        </xdr:cNvPr>
        <xdr:cNvGrpSpPr>
          <a:grpSpLocks/>
        </xdr:cNvGrpSpPr>
      </xdr:nvGrpSpPr>
      <xdr:grpSpPr bwMode="auto">
        <a:xfrm>
          <a:off x="7748588" y="263525"/>
          <a:ext cx="4900612" cy="2711450"/>
          <a:chOff x="7866063" y="158750"/>
          <a:chExt cx="4900613" cy="2651125"/>
        </a:xfrm>
      </xdr:grpSpPr>
      <xdr:sp macro="" textlink="">
        <xdr:nvSpPr>
          <xdr:cNvPr id="3" name="Beszédbuborék: négyszög 2">
            <a:extLst>
              <a:ext uri="{FF2B5EF4-FFF2-40B4-BE49-F238E27FC236}">
                <a16:creationId xmlns="" xmlns:a16="http://schemas.microsoft.com/office/drawing/2014/main" id="{00000000-0008-0000-0100-000003000000}"/>
              </a:ext>
            </a:extLst>
          </xdr:cNvPr>
          <xdr:cNvSpPr/>
        </xdr:nvSpPr>
        <xdr:spPr bwMode="auto">
          <a:xfrm>
            <a:off x="7866063" y="158750"/>
            <a:ext cx="4900613" cy="2651125"/>
          </a:xfrm>
          <a:prstGeom prst="wedgeRectCallout">
            <a:avLst>
              <a:gd name="adj1" fmla="val -61515"/>
              <a:gd name="adj2" fmla="val 9031"/>
            </a:avLst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hu-HU" sz="1100" b="1"/>
              <a:t>Teendő:</a:t>
            </a:r>
          </a:p>
          <a:p>
            <a:pPr algn="l"/>
            <a:r>
              <a:rPr lang="hu-HU" sz="1100"/>
              <a:t>Ha nem a székhely</a:t>
            </a:r>
            <a:r>
              <a:rPr lang="hu-HU" sz="1100" baseline="0"/>
              <a:t> szerinti önkormányzatra készülnek a táblázatok, kattintson ide</a:t>
            </a:r>
          </a:p>
          <a:p>
            <a:pPr algn="l"/>
            <a:endParaRPr lang="hu-HU" sz="1100" baseline="0"/>
          </a:p>
          <a:p>
            <a:pPr algn="l"/>
            <a:endParaRPr lang="hu-HU" sz="1100" baseline="0"/>
          </a:p>
          <a:p>
            <a:pPr algn="l"/>
            <a:endParaRPr lang="hu-HU" sz="1100" baseline="0"/>
          </a:p>
          <a:p>
            <a:pPr algn="l"/>
            <a:r>
              <a:rPr lang="hu-HU" sz="1100"/>
              <a:t>,ha</a:t>
            </a:r>
            <a:r>
              <a:rPr lang="hu-HU" sz="1100" baseline="0"/>
              <a:t> feljön az "Igen" és "Nem" akkor kattintson a "Nem"-re. Ezt csak a  közös hivatallal rendelkező önkormányzatok esetében kell megtenni, polgármesteri hivatalok esetében minditg az alaphelyzetet (Igen) kell meghagyni!</a:t>
            </a:r>
          </a:p>
          <a:p>
            <a:pPr algn="l"/>
            <a:r>
              <a:rPr lang="hu-HU" sz="1100" b="1" baseline="0"/>
              <a:t>Magyarázat:</a:t>
            </a:r>
          </a:p>
          <a:p>
            <a:pPr algn="l"/>
            <a:r>
              <a:rPr lang="hu-HU" sz="1100" baseline="0"/>
              <a:t>Csak székhellyel rendelkező önkormányzatnál lehet közös hivatal, a többinél nem. ezért abban az esetben , ha másik önkormányzat táblázatait készítik az Igen-ről Nem-re történő váltásra azért van szükség, hogy a 6.1 (Önkormányzati táblázatok) melléklet számai után a költségvetési szervek melléklet számai 6.2.-vel folytatódjanak. A közös hivatal táblázatai továbbra is megmaradnak, de azokat ebben az esetben nem kell kinyomtatni. </a:t>
            </a:r>
            <a:endParaRPr lang="hu-HU" sz="1100"/>
          </a:p>
        </xdr:txBody>
      </xdr:sp>
      <xdr:pic>
        <xdr:nvPicPr>
          <xdr:cNvPr id="3705" name="Kép 3">
            <a:extLst>
              <a:ext uri="{FF2B5EF4-FFF2-40B4-BE49-F238E27FC236}">
                <a16:creationId xmlns="" xmlns:a16="http://schemas.microsoft.com/office/drawing/2014/main" id="{00000000-0008-0000-0100-0000790E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1466" t="43756" r="75948" b="52979"/>
          <a:stretch>
            <a:fillRect/>
          </a:stretch>
        </xdr:blipFill>
        <xdr:spPr bwMode="auto">
          <a:xfrm>
            <a:off x="7953445" y="525101"/>
            <a:ext cx="1358192" cy="5116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Nyíl: balra mutató 4">
            <a:extLst>
              <a:ext uri="{FF2B5EF4-FFF2-40B4-BE49-F238E27FC236}">
                <a16:creationId xmlns="" xmlns:a16="http://schemas.microsoft.com/office/drawing/2014/main" id="{00000000-0008-0000-0100-000005000000}"/>
              </a:ext>
            </a:extLst>
          </xdr:cNvPr>
          <xdr:cNvSpPr/>
        </xdr:nvSpPr>
        <xdr:spPr bwMode="auto">
          <a:xfrm>
            <a:off x="9148200" y="661068"/>
            <a:ext cx="816769" cy="269764"/>
          </a:xfrm>
          <a:prstGeom prst="leftArrow">
            <a:avLst/>
          </a:prstGeom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hu-HU"/>
          </a:p>
        </xdr:txBody>
      </xdr:sp>
    </xdr:grpSp>
    <xdr:clientData/>
  </xdr:twoCellAnchor>
  <xdr:twoCellAnchor>
    <xdr:from>
      <xdr:col>13</xdr:col>
      <xdr:colOff>150813</xdr:colOff>
      <xdr:row>17</xdr:row>
      <xdr:rowOff>33337</xdr:rowOff>
    </xdr:from>
    <xdr:to>
      <xdr:col>22</xdr:col>
      <xdr:colOff>263529</xdr:colOff>
      <xdr:row>23</xdr:row>
      <xdr:rowOff>160337</xdr:rowOff>
    </xdr:to>
    <xdr:sp macro="" textlink="">
      <xdr:nvSpPr>
        <xdr:cNvPr id="6" name="Téglalap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/>
      </xdr:nvSpPr>
      <xdr:spPr>
        <a:xfrm>
          <a:off x="7675563" y="3001962"/>
          <a:ext cx="4899029" cy="12223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sz="1100"/>
            <a:t>A Z_1.1.sz.mell.</a:t>
          </a:r>
          <a:r>
            <a:rPr lang="hu-HU" sz="1100" baseline="0"/>
            <a:t> fülnél a </a:t>
          </a:r>
          <a:r>
            <a:rPr lang="hu-HU" sz="1100" b="1" i="1" baseline="0"/>
            <a:t>4. Közhatalmi bevételek </a:t>
          </a:r>
          <a:r>
            <a:rPr lang="hu-HU" sz="1100" baseline="0"/>
            <a:t>bevételi jogcímei, abban az esetben ha az önkormányzatnál más bevételi jogcímek is előfordulnak, akkor bármelyik bevételi jogcím átírható arra, amit szerepeltetni szeretne az önkormányzat. </a:t>
          </a:r>
        </a:p>
        <a:p>
          <a:pPr algn="l">
            <a:lnSpc>
              <a:spcPts val="1100"/>
            </a:lnSpc>
          </a:pPr>
          <a:r>
            <a:rPr lang="hu-HU" sz="1100" b="1" baseline="0"/>
            <a:t>Ezt csak a Z_1.1.sz.mell. fülnél kell elvégzeni, a többi táblázat automatikusan javítódik!</a:t>
          </a:r>
          <a:endParaRPr lang="hu-HU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C35"/>
  <sheetViews>
    <sheetView topLeftCell="A19" zoomScale="120" zoomScaleNormal="120" workbookViewId="0">
      <selection activeCell="G11" sqref="G11"/>
    </sheetView>
  </sheetViews>
  <sheetFormatPr defaultRowHeight="12.75" x14ac:dyDescent="0.2"/>
  <cols>
    <col min="1" max="1" width="34.83203125" customWidth="1"/>
    <col min="2" max="2" width="91.1640625" customWidth="1"/>
    <col min="3" max="3" width="35.33203125" customWidth="1"/>
  </cols>
  <sheetData>
    <row r="1" spans="1:3" x14ac:dyDescent="0.2">
      <c r="A1" s="517">
        <v>2021</v>
      </c>
    </row>
    <row r="2" spans="1:3" ht="18.75" x14ac:dyDescent="0.2">
      <c r="A2" s="1300" t="s">
        <v>694</v>
      </c>
      <c r="B2" s="1300"/>
      <c r="C2" s="1300"/>
    </row>
    <row r="3" spans="1:3" ht="15" x14ac:dyDescent="0.25">
      <c r="A3" s="487"/>
      <c r="B3" s="488"/>
      <c r="C3" s="487"/>
    </row>
    <row r="4" spans="1:3" ht="14.25" x14ac:dyDescent="0.2">
      <c r="A4" s="489" t="s">
        <v>695</v>
      </c>
      <c r="B4" s="490" t="s">
        <v>696</v>
      </c>
      <c r="C4" s="489" t="s">
        <v>697</v>
      </c>
    </row>
    <row r="5" spans="1:3" x14ac:dyDescent="0.2">
      <c r="A5" s="491"/>
      <c r="B5" s="491"/>
      <c r="C5" s="491"/>
    </row>
    <row r="6" spans="1:3" ht="18.75" x14ac:dyDescent="0.3">
      <c r="A6" s="1301" t="s">
        <v>718</v>
      </c>
      <c r="B6" s="1301"/>
      <c r="C6" s="1301"/>
    </row>
    <row r="7" spans="1:3" x14ac:dyDescent="0.2">
      <c r="A7" s="491" t="s">
        <v>698</v>
      </c>
      <c r="B7" s="491" t="s">
        <v>699</v>
      </c>
      <c r="C7" s="492" t="str">
        <f ca="1">HYPERLINK(SUBSTITUTE(CELL("address",Z_ALAPADATOK!A1),"'",""),SUBSTITUTE(MID(CELL("address",Z_ALAPADATOK!A1),SEARCH("]",CELL("address",Z_ALAPADATOK!A1),1)+1,LEN(CELL("address",Z_ALAPADATOK!A1))-SEARCH("]",CELL("address",Z_ALAPADATOK!A1),1)),"'",""))</f>
        <v>Z_ALAPADATOK!$A$1</v>
      </c>
    </row>
    <row r="8" spans="1:3" x14ac:dyDescent="0.2">
      <c r="A8" s="491" t="s">
        <v>700</v>
      </c>
      <c r="B8" s="491" t="s">
        <v>726</v>
      </c>
      <c r="C8" s="492" t="str">
        <f ca="1">HYPERLINK(SUBSTITUTE(CELL("address",Z_ÖSSZEFÜGGÉSEK!A1),"'",""),SUBSTITUTE(MID(CELL("address",Z_ÖSSZEFÜGGÉSEK!A1),SEARCH("]",CELL("address",Z_ÖSSZEFÜGGÉSEK!A1),1)+1,LEN(CELL("address",Z_ÖSSZEFÜGGÉSEK!A1))-SEARCH("]",CELL("address",Z_ÖSSZEFÜGGÉSEK!A1),1)),"'",""))</f>
        <v>Z_ÖSSZEFÜGGÉSEK!$A$1</v>
      </c>
    </row>
    <row r="9" spans="1:3" x14ac:dyDescent="0.2">
      <c r="A9" s="491" t="s">
        <v>701</v>
      </c>
      <c r="B9" s="491" t="str">
        <f>CONCATENATE(LOWER(Z_1.1.sz.mell.!A3))</f>
        <v>2021. évi zárszámadásának pénzügyi mérlege</v>
      </c>
      <c r="C9" s="492" t="str">
        <f ca="1">HYPERLINK(SUBSTITUTE(CELL("address",Z_1.1.sz.mell.!A1),"'",""),SUBSTITUTE(MID(CELL("address",Z_1.1.sz.mell.!A1),SEARCH("]",CELL("address",Z_1.1.sz.mell.!A1),1)+1,LEN(CELL("address",Z_1.1.sz.mell.!A1))-SEARCH("]",CELL("address",Z_1.1.sz.mell.!A1),1)),"'",""))</f>
        <v>Z_1.1.sz.mell.!$A$1</v>
      </c>
    </row>
    <row r="10" spans="1:3" x14ac:dyDescent="0.2">
      <c r="A10" s="491" t="s">
        <v>460</v>
      </c>
      <c r="B10" s="491" t="s">
        <v>702</v>
      </c>
      <c r="C10" s="492" t="e">
        <f ca="1">HYPERLINK(SUBSTITUTE(CELL("address",Z_2.sz.mell!#REF!),"'",""),SUBSTITUTE(MID(CELL("address",Z_2.sz.mell!#REF!),SEARCH("]",CELL("address",Z_2.sz.mell!#REF!),1)+1,LEN(CELL("address",Z_2.sz.mell!#REF!))-SEARCH("]",CELL("address",Z_2.sz.mell!#REF!),1)),"'",""))</f>
        <v>#REF!</v>
      </c>
    </row>
    <row r="11" spans="1:3" x14ac:dyDescent="0.2">
      <c r="A11" s="491" t="s">
        <v>390</v>
      </c>
      <c r="B11" s="491" t="s">
        <v>703</v>
      </c>
      <c r="C11" s="492" t="str">
        <f ca="1">HYPERLINK(SUBSTITUTE(CELL("address",Z_3.sz.mell!A1),"'",""),SUBSTITUTE(MID(CELL("address",Z_3.sz.mell!A1),SEARCH("]",CELL("address",Z_3.sz.mell!A1),1)+1,LEN(CELL("address",Z_3.sz.mell!A1))-SEARCH("]",CELL("address",Z_3.sz.mell!A1),1)),"'",""))</f>
        <v>Z_3.sz.mell!$A$1</v>
      </c>
    </row>
    <row r="12" spans="1:3" x14ac:dyDescent="0.2">
      <c r="A12" s="491" t="s">
        <v>704</v>
      </c>
      <c r="B12" s="491" t="s">
        <v>705</v>
      </c>
      <c r="C12" s="492" t="str">
        <f ca="1">HYPERLINK(SUBSTITUTE(CELL("address",Z_ELLENŐRZÉS!A1),"'",""),SUBSTITUTE(MID(CELL("address",Z_ELLENŐRZÉS!A1),SEARCH("]",CELL("address",Z_ELLENŐRZÉS!A1),1)+1,LEN(CELL("address",Z_ELLENŐRZÉS!A1))-SEARCH("]",CELL("address",Z_ELLENŐRZÉS!A1),1)),"'",""))</f>
        <v>Z_ELLENŐRZÉS!$A$1</v>
      </c>
    </row>
    <row r="13" spans="1:3" x14ac:dyDescent="0.2">
      <c r="A13" s="491" t="s">
        <v>706</v>
      </c>
      <c r="B13" s="491" t="s">
        <v>707</v>
      </c>
      <c r="C13" s="492" t="str">
        <f ca="1">HYPERLINK(SUBSTITUTE(CELL("address",Z_3.sz.mell.!A1),"'",""),SUBSTITUTE(MID(CELL("address",Z_3.sz.mell.!A1),SEARCH("]",CELL("address",Z_3.sz.mell.!A1),1)+1,LEN(CELL("address",Z_3.sz.mell.!A1))-SEARCH("]",CELL("address",Z_3.sz.mell.!A1),1)),"'",""))</f>
        <v>Z_3.sz.mell.!$A$1</v>
      </c>
    </row>
    <row r="14" spans="1:3" x14ac:dyDescent="0.2">
      <c r="A14" s="491" t="s">
        <v>708</v>
      </c>
      <c r="B14" s="491" t="s">
        <v>709</v>
      </c>
      <c r="C14" s="492" t="str">
        <f ca="1">HYPERLINK(SUBSTITUTE(CELL("address",Z_4.sz.mell.!A1),"'",""),SUBSTITUTE(MID(CELL("address",Z_4.sz.mell.!A1),SEARCH("]",CELL("address",Z_4.sz.mell.!A1),1)+1,LEN(CELL("address",Z_4.sz.mell.!A1))-SEARCH("]",CELL("address",Z_4.sz.mell.!A1),1)),"'",""))</f>
        <v>Z_4.sz.mell.!$A$1</v>
      </c>
    </row>
    <row r="15" spans="1:3" x14ac:dyDescent="0.2">
      <c r="A15" s="491" t="s">
        <v>710</v>
      </c>
      <c r="B15" s="491" t="str">
        <f>Z_5.sz.mell.!A2</f>
        <v>Kimutatás az Európai Uniós forrásból finanszírozott projektekről</v>
      </c>
      <c r="C15" s="492" t="str">
        <f ca="1">HYPERLINK(SUBSTITUTE(CELL("address",Z_5.sz.mell.!A2),"'",""),SUBSTITUTE(MID(CELL("address",Z_5.sz.mell.!A2),SEARCH("]",CELL("address",Z_5.sz.mell.!A2),1)+1,LEN(CELL("address",Z_5.sz.mell.!A2))-SEARCH("]",CELL("address",Z_5.sz.mell.!A2),1)),"'",""))</f>
        <v>Z_5.sz.mell.!$A$2</v>
      </c>
    </row>
    <row r="16" spans="1:3" x14ac:dyDescent="0.2">
      <c r="A16" s="491" t="s">
        <v>467</v>
      </c>
      <c r="B16" s="491" t="s">
        <v>711</v>
      </c>
      <c r="C16" s="492" t="str">
        <f ca="1">HYPERLINK(SUBSTITUTE(CELL("address",Z_6.1.sz.mell!A1),"'",""),SUBSTITUTE(MID(CELL("address",Z_6.1.sz.mell!A1),SEARCH("]",CELL("address",Z_6.1.sz.mell!A1),1)+1,LEN(CELL("address",Z_6.1.sz.mell!A1))-SEARCH("]",CELL("address",Z_6.1.sz.mell!A1),1)),"'",""))</f>
        <v>Z_6.1.sz.mell!$A$1</v>
      </c>
    </row>
    <row r="17" spans="1:3" x14ac:dyDescent="0.2">
      <c r="A17" s="491" t="s">
        <v>712</v>
      </c>
      <c r="B17" s="491" t="str">
        <f>Z_ALAPADATOK!A11</f>
        <v>Tiszavasvári Polgármesteri Hivatal</v>
      </c>
      <c r="C17" s="492" t="str">
        <f ca="1">HYPERLINK(SUBSTITUTE(CELL("address",Z_6.2.sz.mell!A1),"'",""),SUBSTITUTE(MID(CELL("address",Z_6.2.sz.mell!A1),SEARCH("]",CELL("address",Z_6.2.sz.mell!A1),1)+1,LEN(CELL("address",Z_6.2.sz.mell!A1))-SEARCH("]",CELL("address",Z_6.2.sz.mell!A1),1)),"'",""))</f>
        <v>Z_6.2.sz.mell!$A$1</v>
      </c>
    </row>
    <row r="18" spans="1:3" x14ac:dyDescent="0.2">
      <c r="A18" s="491" t="s">
        <v>713</v>
      </c>
      <c r="B18" t="str">
        <f>Z_ALAPADATOK!B13</f>
        <v>Városi Kincstár</v>
      </c>
      <c r="C18" s="492" t="str">
        <f ca="1">HYPERLINK(SUBSTITUTE(CELL("address",Z_6.3.sz.mell!A1),"'",""),SUBSTITUTE(MID(CELL("address",Z_6.3.sz.mell!A1),SEARCH("]",CELL("address",Z_6.3.sz.mell!A1),1)+1,LEN(CELL("address",Z_6.3.sz.mell!A1))-SEARCH("]",CELL("address",Z_6.3.sz.mell!A1),1)),"'",""))</f>
        <v>Z_6.3.sz.mell!$A$1</v>
      </c>
    </row>
    <row r="19" spans="1:3" x14ac:dyDescent="0.2">
      <c r="A19" s="491" t="s">
        <v>714</v>
      </c>
      <c r="B19" t="str">
        <f>Z_ALAPADATOK!B15</f>
        <v>Egyesített Óvodai Intézmény</v>
      </c>
      <c r="C19" s="492" t="str">
        <f ca="1">HYPERLINK(SUBSTITUTE(CELL("address",Z_6.4.sz.mell!A1),"'",""),SUBSTITUTE(MID(CELL("address",Z_6.4.sz.mell!A1),SEARCH("]",CELL("address",Z_6.4.sz.mell!A1),1)+1,LEN(CELL("address",Z_6.4.sz.mell!A1))-SEARCH("]",CELL("address",Z_6.4.sz.mell!A1),1)),"'",""))</f>
        <v>Z_6.4.sz.mell!$A$1</v>
      </c>
    </row>
    <row r="20" spans="1:3" x14ac:dyDescent="0.2">
      <c r="A20" s="491" t="s">
        <v>715</v>
      </c>
      <c r="B20" t="str">
        <f>Z_ALAPADATOK!B17</f>
        <v>Egyesített Közművelődési Intézmény és Könyvtár</v>
      </c>
      <c r="C20" s="492" t="str">
        <f ca="1">HYPERLINK(SUBSTITUTE(CELL("address",Z_6.5.sz.mell!A1),"'",""),SUBSTITUTE(MID(CELL("address",Z_6.5.sz.mell!A1),SEARCH("]",CELL("address",Z_6.5.sz.mell!A1),1)+1,LEN(CELL("address",Z_6.5.sz.mell!A1))-SEARCH("]",CELL("address",Z_6.5.sz.mell!A1),1)),"'",""))</f>
        <v>Z_6.5.sz.mell!$A$1</v>
      </c>
    </row>
    <row r="21" spans="1:3" x14ac:dyDescent="0.2">
      <c r="A21" s="491" t="s">
        <v>716</v>
      </c>
      <c r="B21" t="str">
        <f>Z_ALAPADATOK!B19</f>
        <v>Kornisné Liptay Elza Szociális és Gyermekjóléti Központ</v>
      </c>
      <c r="C21" s="492" t="str">
        <f ca="1">HYPERLINK(SUBSTITUTE(CELL("address",Z_6.6.sz.mell!A1),"'",""),SUBSTITUTE(MID(CELL("address",Z_6.6.sz.mell!A1),SEARCH("]",CELL("address",Z_6.6.sz.mell!A1),1)+1,LEN(CELL("address",Z_6.6.sz.mell!A1))-SEARCH("]",CELL("address",Z_6.6.sz.mell!A1),1)),"'",""))</f>
        <v>Z_6.6.sz.mell!$A$1</v>
      </c>
    </row>
    <row r="22" spans="1:3" x14ac:dyDescent="0.2">
      <c r="A22" s="491" t="s">
        <v>717</v>
      </c>
      <c r="B22" t="str">
        <f>Z_ALAPADATOK!B21</f>
        <v>Tiszavasvári Bölcsőde</v>
      </c>
      <c r="C22" s="492" t="str">
        <f ca="1">HYPERLINK(SUBSTITUTE(CELL("address",Z_6.7.sz.mell!A1),"'",""),SUBSTITUTE(MID(CELL("address",Z_6.7.sz.mell!A1),SEARCH("]",CELL("address",Z_6.7.sz.mell!A1),1)+1,LEN(CELL("address",Z_6.7.sz.mell!A1))-SEARCH("]",CELL("address",Z_6.7.sz.mell!A1),1)),"'",""))</f>
        <v>Z_6.7.sz.mell!$A$1</v>
      </c>
    </row>
    <row r="23" spans="1:3" x14ac:dyDescent="0.2">
      <c r="A23" s="491" t="s">
        <v>740</v>
      </c>
      <c r="B23" t="str">
        <f>PROPER(Z_7.sz.mell!A3)</f>
        <v>Költségvetési Szervek Maradványának Alakulása</v>
      </c>
      <c r="C23" s="492" t="str">
        <f ca="1">HYPERLINK(SUBSTITUTE(CELL("address",Z_7.sz.mell!A1),"'",""),SUBSTITUTE(MID(CELL("address",Z_7.sz.mell!A1),SEARCH("]",CELL("address",Z_7.sz.mell!A1),1)+1,LEN(CELL("address",Z_7.sz.mell!A1))-SEARCH("]",CELL("address",Z_7.sz.mell!A1),1)),"'",""))</f>
        <v>Z_7.sz.mell!$A$1</v>
      </c>
    </row>
    <row r="24" spans="1:3" x14ac:dyDescent="0.2">
      <c r="A24" s="491" t="s">
        <v>741</v>
      </c>
      <c r="B24" t="str">
        <f>Z_8.sz.mell!A1</f>
        <v>2021. évi általános működés és ágazati feladatok támogatásának alakulása jogcímenként</v>
      </c>
      <c r="C24" s="492" t="e">
        <f ca="1">HYPERLINK(SUBSTITUTE(CELL("address",Z_8.sz.mell!#REF!),"'",""),SUBSTITUTE(MID(CELL("address",Z_8.sz.mell!#REF!),SEARCH("]",CELL("address",Z_8.sz.mell!#REF!),1)+1,LEN(CELL("address",Z_8.sz.mell!#REF!))-SEARCH("]",CELL("address",Z_8.sz.mell!#REF!),1)),"'",""))</f>
        <v>#REF!</v>
      </c>
    </row>
    <row r="25" spans="1:3" x14ac:dyDescent="0.2">
      <c r="A25" s="491" t="s">
        <v>680</v>
      </c>
      <c r="B25" t="str">
        <f>CONCATENATE(PROPER(Z_1.tájékoztató_t.!A2)," ",LOWER(Z_1.tájékoztató_t.!A3))</f>
        <v>Tiszavasvári Város Önkormányzata 2021. évi zárszámadásának pénzügyi mérlege</v>
      </c>
      <c r="C25" s="492" t="str">
        <f ca="1">HYPERLINK(SUBSTITUTE(CELL("address",Z_1.tájékoztató_t.!A1),"'",""),SUBSTITUTE(MID(CELL("address",Z_1.tájékoztató_t.!A1),SEARCH("]",CELL("address",Z_1.tájékoztató_t.!A1),1)+1,LEN(CELL("address",Z_1.tájékoztató_t.!A1))-SEARCH("]",CELL("address",Z_1.tájékoztató_t.!A1),1)),"'",""))</f>
        <v>Z_1.tájékoztató_t.!$A$1</v>
      </c>
    </row>
    <row r="26" spans="1:3" x14ac:dyDescent="0.2">
      <c r="A26" s="491" t="s">
        <v>682</v>
      </c>
      <c r="B26" t="str">
        <f>Z_2.tájékoztató_t.!A1</f>
        <v>Többéves kihatással járó döntésekből származó kötzelezettségek célok szerinti, évenkénti bontásban</v>
      </c>
      <c r="C26" s="492" t="e">
        <f ca="1">HYPERLINK(SUBSTITUTE(CELL("address",Z_2.tájékoztató_t.!#REF!),"'",""),SUBSTITUTE(MID(CELL("address",Z_2.tájékoztató_t.!#REF!),SEARCH("]",CELL("address",Z_2.tájékoztató_t.!#REF!),1)+1,LEN(CELL("address",Z_2.tájékoztató_t.!#REF!))-SEARCH("]",CELL("address",Z_2.tájékoztató_t.!#REF!),1)),"'",""))</f>
        <v>#REF!</v>
      </c>
    </row>
    <row r="27" spans="1:3" x14ac:dyDescent="0.2">
      <c r="A27" s="491" t="s">
        <v>683</v>
      </c>
      <c r="B27" t="str">
        <f>Z_3.tájékoztató_t.!A1</f>
        <v>Az önkormányzat által nyújtott hitel és kölcsön alakulása lejárat és eszközök szerinti bontásban</v>
      </c>
      <c r="C27" s="492" t="str">
        <f ca="1">HYPERLINK(SUBSTITUTE(CELL("address",Z_3.tájékoztató_t.!A1),"'",""),SUBSTITUTE(MID(CELL("address",Z_3.tájékoztató_t.!A1),SEARCH("]",CELL("address",Z_3.tájékoztató_t.!A1),1)+1,LEN(CELL("address",Z_3.tájékoztató_t.!A1))-SEARCH("]",CELL("address",Z_3.tájékoztató_t.!A1),1)),"'",""))</f>
        <v>Z_3.tájékoztató_t.!$A$1</v>
      </c>
    </row>
    <row r="28" spans="1:3" x14ac:dyDescent="0.2">
      <c r="A28" s="491" t="s">
        <v>684</v>
      </c>
      <c r="B28" t="str">
        <f>Z_4.tájékoztató_t.!A1</f>
        <v>Adósság állomány alakulása lejárat, eszközök, bel- és külföldi hitelezők szerinti bontásban
2021. december 31-én</v>
      </c>
      <c r="C28" s="492" t="str">
        <f ca="1">HYPERLINK(SUBSTITUTE(CELL("address",Z_4.tájékoztató_t.!A1),"'",""),SUBSTITUTE(MID(CELL("address",Z_4.tájékoztató_t.!A1),SEARCH("]",CELL("address",Z_4.tájékoztató_t.!A1),1)+1,LEN(CELL("address",Z_4.tájékoztató_t.!A1))-SEARCH("]",CELL("address",Z_4.tájékoztató_t.!A1),1)),"'",""))</f>
        <v>Z_4.tájékoztató_t.!$A$1</v>
      </c>
    </row>
    <row r="29" spans="1:3" x14ac:dyDescent="0.2">
      <c r="A29" s="491" t="s">
        <v>685</v>
      </c>
      <c r="B29" t="str">
        <f>Z_5.tájékoztató_t.!A3</f>
        <v>Az önkormányzat által adott közvetett támogatások (kedvezménye)</v>
      </c>
      <c r="C29" s="492" t="str">
        <f ca="1">HYPERLINK(SUBSTITUTE(CELL("address",Z_5.tájékoztató_t.!A1),"'",""),SUBSTITUTE(MID(CELL("address",Z_5.tájékoztató_t.!A1),SEARCH("]",CELL("address",Z_5.tájékoztató_t.!A1),1)+1,LEN(CELL("address",Z_5.tájékoztató_t.!A1))-SEARCH("]",CELL("address",Z_5.tájékoztató_t.!A1),1)),"'",""))</f>
        <v>Z_5.tájékoztató_t.!$A$1</v>
      </c>
    </row>
    <row r="30" spans="1:3" x14ac:dyDescent="0.2">
      <c r="A30" s="491" t="s">
        <v>687</v>
      </c>
      <c r="B30" t="str">
        <f>CONCATENATE(PROPER(Z_6.tájékoztató_t.!A3)," ",LOWER(Z_6.tájékoztató_t.!A4))</f>
        <v>K I M U T A T Á S a 2021. évi céljelleggel juttatott támogatások felhasználásáról</v>
      </c>
      <c r="C30" s="492" t="str">
        <f ca="1">HYPERLINK(SUBSTITUTE(CELL("address",Z_6.tájékoztató_t.!A1),"'",""),SUBSTITUTE(MID(CELL("address",Z_6.tájékoztató_t.!A1),SEARCH("]",CELL("address",Z_6.tájékoztató_t.!A1),1)+1,LEN(CELL("address",Z_6.tájékoztató_t.!A1))-SEARCH("]",CELL("address",Z_6.tájékoztató_t.!A1),1)),"'",""))</f>
        <v>Z_6.tájékoztató_t.!$A$1</v>
      </c>
    </row>
    <row r="31" spans="1:3" x14ac:dyDescent="0.2">
      <c r="A31" s="491" t="s">
        <v>688</v>
      </c>
      <c r="B31" t="str">
        <f>CONCATENATE(PROPER(Z_7.1.tájékoztató_t.!A2)," ",Z_7.1.tájékoztató_t.!A3)</f>
        <v>Vagyonkimutatás a könyvviteli mérlegben értékkel szereplő eszközökről</v>
      </c>
      <c r="C31" s="492" t="str">
        <f ca="1">HYPERLINK(SUBSTITUTE(CELL("address",Z_7.1.tájékoztató_t.!A1),"'",""),SUBSTITUTE(MID(CELL("address",Z_7.1.tájékoztató_t.!A1),SEARCH("]",CELL("address",Z_7.1.tájékoztató_t.!A1),1)+1,LEN(CELL("address",Z_7.1.tájékoztató_t.!A1))-SEARCH("]",CELL("address",Z_7.1.tájékoztató_t.!A1),1)),"'",""))</f>
        <v>Z_7.1.tájékoztató_t.!$A$1</v>
      </c>
    </row>
    <row r="32" spans="1:3" x14ac:dyDescent="0.2">
      <c r="A32" s="491" t="s">
        <v>690</v>
      </c>
      <c r="B32" t="str">
        <f>CONCATENATE(PROPER(Z_7.2.tájékoztató_t.!A3)," ",Z_7.2.tájékoztató_t.!A4)</f>
        <v>Vagyonkimutatás a könyvviteli mérlegben értékkel szereplő forrásokról</v>
      </c>
      <c r="C32" s="492" t="str">
        <f ca="1">HYPERLINK(SUBSTITUTE(CELL("address",Z_7.2.tájékoztató_t.!A1),"'",""),SUBSTITUTE(MID(CELL("address",Z_7.2.tájékoztató_t.!A1),SEARCH("]",CELL("address",Z_7.2.tájékoztató_t.!A1),1)+1,LEN(CELL("address",Z_7.2.tájékoztató_t.!A1))-SEARCH("]",CELL("address",Z_7.2.tájékoztató_t.!A1),1)),"'",""))</f>
        <v>Z_7.2.tájékoztató_t.!$A$1</v>
      </c>
    </row>
    <row r="33" spans="1:3" x14ac:dyDescent="0.2">
      <c r="A33" s="491" t="s">
        <v>691</v>
      </c>
      <c r="B33" t="str">
        <f>CONCATENATE(PROPER(Z_7.3.tájékoztató_t.!A3)," ",Z_7.3.tájékoztató_t.!A4)</f>
        <v>Vagyonkimutatás az érték nélkül nyilvántartott eszközökről</v>
      </c>
      <c r="C33" s="492" t="str">
        <f ca="1">HYPERLINK(SUBSTITUTE(CELL("address",Z_7.3.tájékoztató_t.!A1),"'",""),SUBSTITUTE(MID(CELL("address",Z_7.3.tájékoztató_t.!A1),SEARCH("]",CELL("address",Z_7.3.tájékoztató_t.!A1),1)+1,LEN(CELL("address",Z_7.3.tájékoztató_t.!A1))-SEARCH("]",CELL("address",Z_7.3.tájékoztató_t.!A1),1)),"'",""))</f>
        <v>Z_7.3.tájékoztató_t.!$A$1</v>
      </c>
    </row>
    <row r="34" spans="1:3" x14ac:dyDescent="0.2">
      <c r="A34" s="491" t="s">
        <v>692</v>
      </c>
      <c r="B34" t="str">
        <f>CONCATENATE(Z_8.tájékoztató_t.!A2,Z_8.tájékoztató_t.!A3)</f>
        <v>Tiszavasvári Város Önkormányzata tulajdonában álló gazdálkodó szervezetek működéséből származókötelezettségek és részesedések alakulása 2021. évben</v>
      </c>
      <c r="C34" s="492" t="str">
        <f ca="1">HYPERLINK(SUBSTITUTE(CELL("address",Z_8.tájékoztató_t.!A1),"'",""),SUBSTITUTE(MID(CELL("address",Z_8.tájékoztató_t.!A1),SEARCH("]",CELL("address",Z_8.tájékoztató_t.!A1),1)+1,LEN(CELL("address",Z_8.tájékoztató_t.!A1))-SEARCH("]",CELL("address",Z_8.tájékoztató_t.!A1),1)),"'",""))</f>
        <v>Z_8.tájékoztató_t.!$A$1</v>
      </c>
    </row>
    <row r="35" spans="1:3" x14ac:dyDescent="0.2">
      <c r="A35" s="491" t="s">
        <v>693</v>
      </c>
      <c r="B35" t="s">
        <v>719</v>
      </c>
      <c r="C35" s="492" t="str">
        <f ca="1">HYPERLINK(SUBSTITUTE(CELL("address",Z_9.tájékoztató_t.!A1),"'",""),SUBSTITUTE(MID(CELL("address",Z_9.tájékoztató_t.!A1),SEARCH("]",CELL("address",Z_9.tájékoztató_t.!A1),1)+1,LEN(CELL("address",Z_9.tájékoztató_t.!A1))-SEARCH("]",CELL("address",Z_9.tájékoztató_t.!A1),1)),"'",""))</f>
        <v>Z_9.tájékoztató_t.!$A$1</v>
      </c>
    </row>
  </sheetData>
  <mergeCells count="2">
    <mergeCell ref="A2:C2"/>
    <mergeCell ref="A6:C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S22"/>
  <sheetViews>
    <sheetView view="pageBreakPreview" zoomScale="70" zoomScaleNormal="85" zoomScaleSheetLayoutView="70" workbookViewId="0">
      <selection activeCell="G9" sqref="G9"/>
    </sheetView>
  </sheetViews>
  <sheetFormatPr defaultRowHeight="15" x14ac:dyDescent="0.25"/>
  <cols>
    <col min="1" max="1" width="7.1640625" style="526" customWidth="1"/>
    <col min="2" max="2" width="35.33203125" style="800" customWidth="1"/>
    <col min="3" max="3" width="56.1640625" style="801" bestFit="1" customWidth="1"/>
    <col min="4" max="4" width="14" style="527" customWidth="1"/>
    <col min="5" max="5" width="14.5" style="528" bestFit="1" customWidth="1"/>
    <col min="6" max="7" width="15.83203125" style="528" bestFit="1" customWidth="1"/>
    <col min="8" max="8" width="17.33203125" style="528" bestFit="1" customWidth="1"/>
    <col min="9" max="9" width="19.1640625" style="528" customWidth="1"/>
    <col min="10" max="10" width="13.33203125" style="528" bestFit="1" customWidth="1"/>
    <col min="11" max="11" width="19.83203125" style="528" customWidth="1"/>
    <col min="12" max="12" width="15.83203125" style="528" bestFit="1" customWidth="1"/>
    <col min="13" max="13" width="23.33203125" style="528" customWidth="1"/>
    <col min="14" max="14" width="20.5" style="529" customWidth="1"/>
    <col min="15" max="15" width="12" style="529" bestFit="1" customWidth="1"/>
    <col min="16" max="16" width="9.33203125" style="529"/>
    <col min="17" max="17" width="11.33203125" style="529" bestFit="1" customWidth="1"/>
    <col min="18" max="18" width="9.33203125" style="529"/>
    <col min="19" max="19" width="15.83203125" style="529" bestFit="1" customWidth="1"/>
    <col min="20" max="16384" width="9.33203125" style="529"/>
  </cols>
  <sheetData>
    <row r="1" spans="1:19" x14ac:dyDescent="0.25">
      <c r="M1" s="525" t="str">
        <f>CONCATENATE("6. melléklet ",Z_ALAPADATOK!A7," ",Z_ALAPADATOK!B7," ",Z_ALAPADATOK!C7," ",Z_ALAPADATOK!D7," ",Z_ALAPADATOK!E7," ",Z_ALAPADATOK!F7," ",)</f>
        <v xml:space="preserve">6. melléklet a 12 / 2022. ( V.30. </v>
      </c>
    </row>
    <row r="2" spans="1:19" ht="18.75" x14ac:dyDescent="0.25">
      <c r="A2" s="1347" t="s">
        <v>755</v>
      </c>
      <c r="B2" s="1347"/>
      <c r="C2" s="1347"/>
      <c r="D2" s="1347"/>
      <c r="E2" s="1347"/>
      <c r="F2" s="1347"/>
      <c r="G2" s="1347"/>
      <c r="H2" s="1347"/>
      <c r="I2" s="1347"/>
      <c r="J2" s="1347"/>
      <c r="K2" s="1347"/>
      <c r="L2" s="1347"/>
      <c r="M2" s="1347"/>
    </row>
    <row r="3" spans="1:19" ht="15.75" thickBot="1" x14ac:dyDescent="0.3"/>
    <row r="4" spans="1:19" x14ac:dyDescent="0.25">
      <c r="A4" s="530" t="s">
        <v>354</v>
      </c>
      <c r="B4" s="531" t="s">
        <v>355</v>
      </c>
      <c r="C4" s="799" t="s">
        <v>356</v>
      </c>
      <c r="D4" s="531" t="s">
        <v>358</v>
      </c>
      <c r="E4" s="532" t="s">
        <v>357</v>
      </c>
      <c r="F4" s="532" t="s">
        <v>359</v>
      </c>
      <c r="G4" s="532" t="s">
        <v>360</v>
      </c>
      <c r="H4" s="532" t="s">
        <v>361</v>
      </c>
      <c r="I4" s="532" t="s">
        <v>389</v>
      </c>
      <c r="J4" s="532" t="s">
        <v>756</v>
      </c>
      <c r="K4" s="532" t="s">
        <v>757</v>
      </c>
      <c r="L4" s="532" t="s">
        <v>758</v>
      </c>
      <c r="M4" s="797" t="s">
        <v>759</v>
      </c>
    </row>
    <row r="5" spans="1:19" x14ac:dyDescent="0.25">
      <c r="A5" s="1348" t="s">
        <v>531</v>
      </c>
      <c r="B5" s="1349" t="s">
        <v>760</v>
      </c>
      <c r="C5" s="1350" t="s">
        <v>761</v>
      </c>
      <c r="D5" s="1350" t="s">
        <v>762</v>
      </c>
      <c r="E5" s="1352" t="s">
        <v>763</v>
      </c>
      <c r="F5" s="1352"/>
      <c r="G5" s="1352"/>
      <c r="H5" s="1352"/>
      <c r="I5" s="1352" t="s">
        <v>955</v>
      </c>
      <c r="J5" s="1354" t="s">
        <v>954</v>
      </c>
      <c r="K5" s="1354"/>
      <c r="L5" s="1354"/>
      <c r="M5" s="1355" t="s">
        <v>956</v>
      </c>
    </row>
    <row r="6" spans="1:19" ht="45.75" thickBot="1" x14ac:dyDescent="0.3">
      <c r="A6" s="1348"/>
      <c r="B6" s="1349"/>
      <c r="C6" s="1351"/>
      <c r="D6" s="1351"/>
      <c r="E6" s="1277" t="s">
        <v>957</v>
      </c>
      <c r="F6" s="1277" t="s">
        <v>764</v>
      </c>
      <c r="G6" s="1277" t="s">
        <v>765</v>
      </c>
      <c r="H6" s="1277" t="s">
        <v>766</v>
      </c>
      <c r="I6" s="1353"/>
      <c r="J6" s="1278" t="s">
        <v>82</v>
      </c>
      <c r="K6" s="1278" t="s">
        <v>767</v>
      </c>
      <c r="L6" s="1278" t="s">
        <v>768</v>
      </c>
      <c r="M6" s="1356"/>
    </row>
    <row r="7" spans="1:19" ht="45" x14ac:dyDescent="0.25">
      <c r="A7" s="802" t="s">
        <v>6</v>
      </c>
      <c r="B7" s="1270" t="s">
        <v>769</v>
      </c>
      <c r="C7" s="1279" t="s">
        <v>770</v>
      </c>
      <c r="D7" s="1280">
        <v>42895</v>
      </c>
      <c r="E7" s="1281">
        <f>77712+141600+8500</f>
        <v>227812</v>
      </c>
      <c r="F7" s="1282"/>
      <c r="G7" s="1282">
        <v>15797160</v>
      </c>
      <c r="H7" s="1281">
        <f>SUM(E7:G7)</f>
        <v>16024972</v>
      </c>
      <c r="I7" s="1281">
        <v>15797160</v>
      </c>
      <c r="J7" s="1281">
        <v>150100</v>
      </c>
      <c r="K7" s="1281"/>
      <c r="L7" s="1281">
        <f t="shared" ref="L7" si="0">SUM(J7:K7)</f>
        <v>150100</v>
      </c>
      <c r="M7" s="1283">
        <f>15874872+150100</f>
        <v>16024972</v>
      </c>
    </row>
    <row r="8" spans="1:19" ht="60" x14ac:dyDescent="0.25">
      <c r="A8" s="802" t="s">
        <v>7</v>
      </c>
      <c r="B8" s="1270" t="s">
        <v>771</v>
      </c>
      <c r="C8" s="1284" t="s">
        <v>772</v>
      </c>
      <c r="D8" s="1258">
        <v>43227</v>
      </c>
      <c r="E8" s="1259">
        <f>3152164</f>
        <v>3152164</v>
      </c>
      <c r="F8" s="1260">
        <v>20852261</v>
      </c>
      <c r="G8" s="1260">
        <v>118162667</v>
      </c>
      <c r="H8" s="1259">
        <f>SUM(E8:G8)</f>
        <v>142167092</v>
      </c>
      <c r="I8" s="1259">
        <f>38416166+69024123</f>
        <v>107440289</v>
      </c>
      <c r="J8" s="1259">
        <v>1</v>
      </c>
      <c r="K8" s="1259">
        <v>21359813</v>
      </c>
      <c r="L8" s="1259">
        <f>SUM(J8:K8)</f>
        <v>21359814</v>
      </c>
      <c r="M8" s="1285">
        <f>635000+7826960+39471928+40302710+21359814</f>
        <v>109596412</v>
      </c>
    </row>
    <row r="9" spans="1:19" x14ac:dyDescent="0.25">
      <c r="A9" s="802" t="s">
        <v>8</v>
      </c>
      <c r="B9" s="1271" t="s">
        <v>773</v>
      </c>
      <c r="C9" s="1286" t="s">
        <v>774</v>
      </c>
      <c r="D9" s="1261" t="s">
        <v>775</v>
      </c>
      <c r="E9" s="1262">
        <v>717804</v>
      </c>
      <c r="F9" s="1263">
        <v>12750005</v>
      </c>
      <c r="G9" s="1263">
        <v>72249995</v>
      </c>
      <c r="H9" s="1259">
        <f>SUM(E9:G9)</f>
        <v>85717804</v>
      </c>
      <c r="I9" s="1262">
        <v>85000000</v>
      </c>
      <c r="J9" s="1262"/>
      <c r="K9" s="1262"/>
      <c r="L9" s="1262"/>
      <c r="M9" s="1287">
        <f>82695214+2125000</f>
        <v>84820214</v>
      </c>
    </row>
    <row r="10" spans="1:19" x14ac:dyDescent="0.25">
      <c r="A10" s="802" t="s">
        <v>9</v>
      </c>
      <c r="B10" s="1270" t="s">
        <v>888</v>
      </c>
      <c r="C10" s="1284" t="s">
        <v>776</v>
      </c>
      <c r="D10" s="1258">
        <v>43649</v>
      </c>
      <c r="E10" s="1259">
        <f>243600+2038794</f>
        <v>2282394</v>
      </c>
      <c r="F10" s="1260">
        <v>107786150</v>
      </c>
      <c r="G10" s="1260">
        <v>262182506</v>
      </c>
      <c r="H10" s="1259">
        <f>SUM(E10:G10)</f>
        <v>372251050</v>
      </c>
      <c r="I10" s="1259">
        <v>363618656</v>
      </c>
      <c r="J10" s="1259"/>
      <c r="K10" s="1259">
        <f>63969030</f>
        <v>63969030</v>
      </c>
      <c r="L10" s="1259">
        <f>SUM(J10:K10)</f>
        <v>63969030</v>
      </c>
      <c r="M10" s="1285">
        <f>2407920+914400+18938185+2032000+63969030</f>
        <v>88261535</v>
      </c>
    </row>
    <row r="11" spans="1:19" ht="45" x14ac:dyDescent="0.25">
      <c r="A11" s="802" t="s">
        <v>10</v>
      </c>
      <c r="B11" s="1272" t="s">
        <v>777</v>
      </c>
      <c r="C11" s="1284" t="s">
        <v>779</v>
      </c>
      <c r="D11" s="1258">
        <v>43717</v>
      </c>
      <c r="E11" s="1259"/>
      <c r="F11" s="1260"/>
      <c r="G11" s="1264" t="s">
        <v>1068</v>
      </c>
      <c r="H11" s="1264" t="s">
        <v>1068</v>
      </c>
      <c r="I11" s="1264" t="s">
        <v>1068</v>
      </c>
      <c r="J11" s="1264"/>
      <c r="K11" s="1264" t="s">
        <v>1069</v>
      </c>
      <c r="L11" s="1264" t="s">
        <v>1069</v>
      </c>
      <c r="M11" s="1288" t="s">
        <v>1070</v>
      </c>
    </row>
    <row r="12" spans="1:19" ht="45" x14ac:dyDescent="0.25">
      <c r="A12" s="802" t="s">
        <v>11</v>
      </c>
      <c r="B12" s="1273" t="s">
        <v>777</v>
      </c>
      <c r="C12" s="1289" t="s">
        <v>778</v>
      </c>
      <c r="D12" s="1258">
        <v>43717</v>
      </c>
      <c r="E12" s="1265"/>
      <c r="F12" s="1266">
        <v>4723658</v>
      </c>
      <c r="G12" s="1266">
        <v>26767392</v>
      </c>
      <c r="H12" s="1259">
        <f t="shared" ref="H12:H19" si="1">SUM(E12:G12)</f>
        <v>31491050</v>
      </c>
      <c r="I12" s="1265">
        <f>5715000+25776050</f>
        <v>31491050</v>
      </c>
      <c r="J12" s="1265"/>
      <c r="K12" s="1265">
        <v>15794524</v>
      </c>
      <c r="L12" s="1265">
        <f>SUM(J12:K12)</f>
        <v>15794524</v>
      </c>
      <c r="M12" s="1290">
        <f>1270000+6224076+1270000+15794524</f>
        <v>24558600</v>
      </c>
    </row>
    <row r="13" spans="1:19" x14ac:dyDescent="0.25">
      <c r="A13" s="802" t="s">
        <v>12</v>
      </c>
      <c r="B13" s="1273" t="s">
        <v>780</v>
      </c>
      <c r="C13" s="1289" t="s">
        <v>781</v>
      </c>
      <c r="D13" s="1258">
        <v>43727</v>
      </c>
      <c r="E13" s="1265"/>
      <c r="F13" s="1266">
        <v>19810623</v>
      </c>
      <c r="G13" s="1266">
        <v>160285927</v>
      </c>
      <c r="H13" s="1259">
        <f t="shared" si="1"/>
        <v>180096550</v>
      </c>
      <c r="I13" s="1265">
        <v>168611550</v>
      </c>
      <c r="J13" s="1265"/>
      <c r="K13" s="1265">
        <v>2246975</v>
      </c>
      <c r="L13" s="1265">
        <f>SUM(J13:K13)</f>
        <v>2246975</v>
      </c>
      <c r="M13" s="1290">
        <f>381000+1270000+3048000+6229750+2246975</f>
        <v>13175725</v>
      </c>
    </row>
    <row r="14" spans="1:19" ht="38.25" x14ac:dyDescent="0.25">
      <c r="A14" s="802" t="s">
        <v>13</v>
      </c>
      <c r="B14" s="1270" t="s">
        <v>887</v>
      </c>
      <c r="C14" s="1291" t="s">
        <v>803</v>
      </c>
      <c r="D14" s="1258">
        <v>43886</v>
      </c>
      <c r="E14" s="1267"/>
      <c r="F14" s="1268">
        <v>2854154</v>
      </c>
      <c r="G14" s="1269">
        <v>16173540</v>
      </c>
      <c r="H14" s="1259">
        <f t="shared" si="1"/>
        <v>19027694</v>
      </c>
      <c r="I14" s="1267">
        <v>19027694</v>
      </c>
      <c r="J14" s="1267"/>
      <c r="K14" s="1267">
        <v>9423701</v>
      </c>
      <c r="L14" s="1259">
        <f>SUM(J14:K14)</f>
        <v>9423701</v>
      </c>
      <c r="M14" s="1292">
        <f>190500+9398000+9423701</f>
        <v>19012201</v>
      </c>
      <c r="N14" s="665"/>
      <c r="Q14" s="667"/>
      <c r="S14" s="666"/>
    </row>
    <row r="15" spans="1:19" ht="30" x14ac:dyDescent="0.25">
      <c r="A15" s="802" t="s">
        <v>14</v>
      </c>
      <c r="B15" s="1270" t="s">
        <v>885</v>
      </c>
      <c r="C15" s="1293" t="s">
        <v>886</v>
      </c>
      <c r="D15" s="1258">
        <v>43986</v>
      </c>
      <c r="E15" s="1267"/>
      <c r="F15" s="1267">
        <v>25871475</v>
      </c>
      <c r="G15" s="1267">
        <v>209323741</v>
      </c>
      <c r="H15" s="1259">
        <f t="shared" si="1"/>
        <v>235195216</v>
      </c>
      <c r="I15" s="1267">
        <v>230195216</v>
      </c>
      <c r="J15" s="1267"/>
      <c r="K15" s="1267">
        <v>223097646</v>
      </c>
      <c r="L15" s="1259">
        <f>SUM(J15:K15)</f>
        <v>223097646</v>
      </c>
      <c r="M15" s="1292">
        <f>6286500+444500+223097646</f>
        <v>229828646</v>
      </c>
    </row>
    <row r="16" spans="1:19" ht="30" x14ac:dyDescent="0.25">
      <c r="A16" s="802" t="s">
        <v>15</v>
      </c>
      <c r="B16" s="1274" t="s">
        <v>960</v>
      </c>
      <c r="C16" s="1294" t="s">
        <v>961</v>
      </c>
      <c r="D16" s="1298">
        <v>44218</v>
      </c>
      <c r="E16" s="1259">
        <v>5297667</v>
      </c>
      <c r="F16" s="1259">
        <v>2212501</v>
      </c>
      <c r="G16" s="1259">
        <v>42037498</v>
      </c>
      <c r="H16" s="1259">
        <f t="shared" si="1"/>
        <v>49547666</v>
      </c>
      <c r="I16" s="1259">
        <v>44249999</v>
      </c>
      <c r="J16" s="1259">
        <v>5240009</v>
      </c>
      <c r="K16" s="1259">
        <v>43768394</v>
      </c>
      <c r="L16" s="1259">
        <f t="shared" ref="L16:L19" si="2">SUM(J16:K16)</f>
        <v>49008403</v>
      </c>
      <c r="M16" s="1285">
        <f>335000+49008403</f>
        <v>49343403</v>
      </c>
    </row>
    <row r="17" spans="1:13" ht="45" x14ac:dyDescent="0.25">
      <c r="A17" s="802" t="s">
        <v>16</v>
      </c>
      <c r="B17" s="1275" t="s">
        <v>962</v>
      </c>
      <c r="C17" s="1294" t="s">
        <v>963</v>
      </c>
      <c r="D17" s="1298">
        <v>44228</v>
      </c>
      <c r="E17" s="1259">
        <v>444401</v>
      </c>
      <c r="F17" s="1259">
        <v>599942</v>
      </c>
      <c r="G17" s="1259">
        <v>3399658</v>
      </c>
      <c r="H17" s="1259">
        <f t="shared" si="1"/>
        <v>4444001</v>
      </c>
      <c r="I17" s="1259">
        <v>3999600</v>
      </c>
      <c r="J17" s="1259">
        <v>444401</v>
      </c>
      <c r="K17" s="1259">
        <v>3999600</v>
      </c>
      <c r="L17" s="1259">
        <f t="shared" si="2"/>
        <v>4444001</v>
      </c>
      <c r="M17" s="1285">
        <v>4444001</v>
      </c>
    </row>
    <row r="18" spans="1:13" ht="45" x14ac:dyDescent="0.25">
      <c r="A18" s="802" t="s">
        <v>17</v>
      </c>
      <c r="B18" s="1274" t="s">
        <v>958</v>
      </c>
      <c r="C18" s="1294" t="s">
        <v>959</v>
      </c>
      <c r="D18" s="1298">
        <v>44249</v>
      </c>
      <c r="E18" s="1259">
        <v>388900</v>
      </c>
      <c r="F18" s="1259">
        <v>175007</v>
      </c>
      <c r="G18" s="1259">
        <v>3325093</v>
      </c>
      <c r="H18" s="1259">
        <f t="shared" si="1"/>
        <v>3889000</v>
      </c>
      <c r="I18" s="1259">
        <v>3500100</v>
      </c>
      <c r="J18" s="1259">
        <v>388900</v>
      </c>
      <c r="K18" s="1259">
        <v>3500100</v>
      </c>
      <c r="L18" s="1259">
        <f t="shared" si="2"/>
        <v>3889000</v>
      </c>
      <c r="M18" s="1285">
        <v>3889000</v>
      </c>
    </row>
    <row r="19" spans="1:13" ht="30.75" thickBot="1" x14ac:dyDescent="0.3">
      <c r="A19" s="803" t="s">
        <v>18</v>
      </c>
      <c r="B19" s="1276" t="s">
        <v>965</v>
      </c>
      <c r="C19" s="1295" t="s">
        <v>964</v>
      </c>
      <c r="D19" s="1299">
        <v>44228</v>
      </c>
      <c r="E19" s="1296">
        <v>1080000</v>
      </c>
      <c r="F19" s="1296">
        <v>1458002</v>
      </c>
      <c r="G19" s="1296">
        <v>8261998</v>
      </c>
      <c r="H19" s="1296">
        <f t="shared" si="1"/>
        <v>10800000</v>
      </c>
      <c r="I19" s="1296">
        <v>9720000</v>
      </c>
      <c r="J19" s="1296">
        <v>1080000</v>
      </c>
      <c r="K19" s="1296">
        <v>9720000</v>
      </c>
      <c r="L19" s="1296">
        <f t="shared" si="2"/>
        <v>10800000</v>
      </c>
      <c r="M19" s="1297">
        <v>10800000</v>
      </c>
    </row>
    <row r="20" spans="1:13" x14ac:dyDescent="0.25">
      <c r="C20" s="798"/>
      <c r="H20" s="533">
        <f>SUM(H7:H19)</f>
        <v>1150652095</v>
      </c>
      <c r="I20" s="533"/>
      <c r="J20" s="533"/>
      <c r="K20" s="533"/>
      <c r="L20" s="533"/>
      <c r="M20" s="533">
        <f>SUM(M7:M19)</f>
        <v>653754709</v>
      </c>
    </row>
    <row r="21" spans="1:13" x14ac:dyDescent="0.25">
      <c r="C21" s="798"/>
    </row>
    <row r="22" spans="1:13" x14ac:dyDescent="0.25">
      <c r="C22" s="798"/>
    </row>
  </sheetData>
  <mergeCells count="9">
    <mergeCell ref="A2:M2"/>
    <mergeCell ref="A5:A6"/>
    <mergeCell ref="B5:B6"/>
    <mergeCell ref="C5:C6"/>
    <mergeCell ref="D5:D6"/>
    <mergeCell ref="E5:H5"/>
    <mergeCell ref="I5:I6"/>
    <mergeCell ref="J5:L5"/>
    <mergeCell ref="M5:M6"/>
  </mergeCells>
  <printOptions horizontalCentered="1"/>
  <pageMargins left="0.78740157480314965" right="0.78740157480314965" top="0.78740157480314965" bottom="0.78740157480314965" header="0.78740157480314965" footer="0.78740157480314965"/>
  <pageSetup paperSize="9" scale="50" orientation="landscape" r:id="rId1"/>
  <headerFooter alignWithMargins="0">
    <oddHeader xml:space="preserve">&amp;C&amp;"Times New Roman CE,Félkövér"&amp;12
</oddHeader>
  </headerFooter>
  <rowBreaks count="9" manualBreakCount="9">
    <brk id="31" max="16383" man="1"/>
    <brk id="53" max="16383" man="1"/>
    <brk id="75" max="16383" man="1"/>
    <brk id="97" max="16383" man="1"/>
    <brk id="119" max="16383" man="1"/>
    <brk id="141" max="16383" man="1"/>
    <brk id="163" max="16383" man="1"/>
    <brk id="185" max="16383" man="1"/>
    <brk id="20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58"/>
  <sheetViews>
    <sheetView zoomScale="120" zoomScaleNormal="120" zoomScaleSheetLayoutView="100" workbookViewId="0">
      <selection activeCell="B12" sqref="B12"/>
    </sheetView>
  </sheetViews>
  <sheetFormatPr defaultRowHeight="12.75" x14ac:dyDescent="0.2"/>
  <cols>
    <col min="1" max="1" width="16.1640625" style="136" customWidth="1"/>
    <col min="2" max="2" width="63.83203125" style="137" customWidth="1"/>
    <col min="3" max="3" width="14.1640625" style="138" customWidth="1"/>
    <col min="4" max="4" width="15.5" style="2" customWidth="1"/>
    <col min="5" max="5" width="14.1640625" style="2" customWidth="1"/>
    <col min="6" max="6" width="17.83203125" style="2" customWidth="1"/>
    <col min="7" max="16384" width="9.33203125" style="2"/>
  </cols>
  <sheetData>
    <row r="1" spans="1:6" s="1" customFormat="1" ht="16.5" customHeight="1" thickBot="1" x14ac:dyDescent="0.3">
      <c r="A1" s="260"/>
      <c r="B1" s="1357" t="str">
        <f>CONCATENATE("7. melléklet ",Z_ALAPADATOK!A7," ",Z_ALAPADATOK!B7," ",Z_ALAPADATOK!C7," ",Z_ALAPADATOK!D7," ",Z_ALAPADATOK!E7," ",Z_ALAPADATOK!F7," ",Z_ALAPADATOK!G7," ",Z_ALAPADATOK!H7)</f>
        <v>7. melléklet a 12 / 2022. ( V.30. ) önkormányzati rendelethez</v>
      </c>
      <c r="C1" s="1358"/>
      <c r="D1" s="1358"/>
      <c r="E1" s="1358"/>
    </row>
    <row r="2" spans="1:6" s="36" customFormat="1" ht="21.2" customHeight="1" thickBot="1" x14ac:dyDescent="0.25">
      <c r="A2" s="269" t="s">
        <v>44</v>
      </c>
      <c r="B2" s="1366" t="str">
        <f>CONCATENATE(Z_ALAPADATOK!A3)</f>
        <v>Tiszavasvári Város Önkormányzata</v>
      </c>
      <c r="C2" s="1366"/>
      <c r="D2" s="1366"/>
      <c r="E2" s="270" t="s">
        <v>38</v>
      </c>
    </row>
    <row r="3" spans="1:6" s="36" customFormat="1" ht="24.75" thickBot="1" x14ac:dyDescent="0.25">
      <c r="A3" s="269" t="s">
        <v>122</v>
      </c>
      <c r="B3" s="1366" t="s">
        <v>278</v>
      </c>
      <c r="C3" s="1366"/>
      <c r="D3" s="1366"/>
      <c r="E3" s="271" t="s">
        <v>38</v>
      </c>
    </row>
    <row r="4" spans="1:6" s="37" customFormat="1" ht="15.95" customHeight="1" thickBot="1" x14ac:dyDescent="0.3">
      <c r="A4" s="263"/>
      <c r="B4" s="263"/>
      <c r="C4" s="264"/>
      <c r="D4" s="265"/>
      <c r="E4" s="272" t="str">
        <f>Z_4.sz.mell.!I4</f>
        <v xml:space="preserve"> Forintban!</v>
      </c>
    </row>
    <row r="5" spans="1:6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+CONCATENATE("Teljesítés",CHAR(10),LEFT(Z_ÖSSZEFÜGGÉSEK!A6,4),". XII. 31.")</f>
        <v>Teljesítés
2021. XII. 31.</v>
      </c>
    </row>
    <row r="6" spans="1:6" s="32" customFormat="1" ht="12.95" customHeight="1" thickBot="1" x14ac:dyDescent="0.25">
      <c r="A6" s="58" t="s">
        <v>354</v>
      </c>
      <c r="B6" s="59" t="s">
        <v>355</v>
      </c>
      <c r="C6" s="59" t="s">
        <v>356</v>
      </c>
      <c r="D6" s="230" t="s">
        <v>358</v>
      </c>
      <c r="E6" s="60" t="s">
        <v>357</v>
      </c>
    </row>
    <row r="7" spans="1:6" s="32" customFormat="1" ht="15.95" customHeight="1" thickBot="1" x14ac:dyDescent="0.25">
      <c r="A7" s="1363" t="s">
        <v>39</v>
      </c>
      <c r="B7" s="1364"/>
      <c r="C7" s="1364"/>
      <c r="D7" s="1364"/>
      <c r="E7" s="1365"/>
    </row>
    <row r="8" spans="1:6" s="32" customFormat="1" ht="12" customHeight="1" thickBot="1" x14ac:dyDescent="0.25">
      <c r="A8" s="17" t="s">
        <v>6</v>
      </c>
      <c r="B8" s="13" t="s">
        <v>147</v>
      </c>
      <c r="C8" s="140">
        <f>C9+C10+C11+C14+C15+C16</f>
        <v>1586722929</v>
      </c>
      <c r="D8" s="140">
        <f t="shared" ref="D8:E8" si="0">D9+D10+D11+D14+D15+D16</f>
        <v>1634262294</v>
      </c>
      <c r="E8" s="140">
        <f t="shared" si="0"/>
        <v>1521550457</v>
      </c>
      <c r="F8" s="1167"/>
    </row>
    <row r="9" spans="1:6" s="38" customFormat="1" ht="12" customHeight="1" x14ac:dyDescent="0.2">
      <c r="A9" s="160" t="s">
        <v>63</v>
      </c>
      <c r="B9" s="152" t="s">
        <v>148</v>
      </c>
      <c r="C9" s="955">
        <v>295696597</v>
      </c>
      <c r="D9" s="966">
        <v>296190577</v>
      </c>
      <c r="E9" s="1014">
        <v>296190577</v>
      </c>
      <c r="F9" s="1167"/>
    </row>
    <row r="10" spans="1:6" s="39" customFormat="1" ht="12" customHeight="1" x14ac:dyDescent="0.2">
      <c r="A10" s="161" t="s">
        <v>64</v>
      </c>
      <c r="B10" s="153" t="s">
        <v>149</v>
      </c>
      <c r="C10" s="953">
        <v>254023920</v>
      </c>
      <c r="D10" s="1016">
        <v>262755080</v>
      </c>
      <c r="E10" s="1010">
        <v>262755080</v>
      </c>
      <c r="F10" s="1167"/>
    </row>
    <row r="11" spans="1:6" s="39" customFormat="1" ht="12" customHeight="1" x14ac:dyDescent="0.2">
      <c r="A11" s="161" t="s">
        <v>65</v>
      </c>
      <c r="B11" s="153" t="s">
        <v>787</v>
      </c>
      <c r="C11" s="953">
        <v>761734873</v>
      </c>
      <c r="D11" s="1016">
        <v>828956137</v>
      </c>
      <c r="E11" s="1016">
        <f>E12+E13</f>
        <v>828956137</v>
      </c>
      <c r="F11" s="1167"/>
    </row>
    <row r="12" spans="1:6" s="39" customFormat="1" ht="23.25" customHeight="1" x14ac:dyDescent="0.2">
      <c r="A12" s="161" t="s">
        <v>783</v>
      </c>
      <c r="B12" s="153" t="s">
        <v>785</v>
      </c>
      <c r="C12" s="953">
        <v>635476079</v>
      </c>
      <c r="D12" s="1016">
        <v>640407443</v>
      </c>
      <c r="E12" s="1010">
        <v>640407443</v>
      </c>
      <c r="F12" s="1167"/>
    </row>
    <row r="13" spans="1:6" s="39" customFormat="1" ht="12" customHeight="1" x14ac:dyDescent="0.2">
      <c r="A13" s="161" t="s">
        <v>784</v>
      </c>
      <c r="B13" s="153" t="s">
        <v>786</v>
      </c>
      <c r="C13" s="953">
        <v>126258794</v>
      </c>
      <c r="D13" s="1016">
        <v>188548694</v>
      </c>
      <c r="E13" s="1010">
        <v>188548694</v>
      </c>
      <c r="F13" s="1167"/>
    </row>
    <row r="14" spans="1:6" s="39" customFormat="1" ht="12" customHeight="1" x14ac:dyDescent="0.2">
      <c r="A14" s="161" t="s">
        <v>66</v>
      </c>
      <c r="B14" s="153" t="s">
        <v>150</v>
      </c>
      <c r="C14" s="953">
        <v>40888120</v>
      </c>
      <c r="D14" s="1016">
        <v>42308416</v>
      </c>
      <c r="E14" s="1010">
        <v>42308416</v>
      </c>
      <c r="F14" s="1167"/>
    </row>
    <row r="15" spans="1:6" s="39" customFormat="1" ht="12" customHeight="1" x14ac:dyDescent="0.2">
      <c r="A15" s="161" t="s">
        <v>84</v>
      </c>
      <c r="B15" s="153" t="s">
        <v>306</v>
      </c>
      <c r="C15" s="953">
        <v>234379419</v>
      </c>
      <c r="D15" s="1016">
        <v>202586020</v>
      </c>
      <c r="E15" s="1010">
        <v>89874183</v>
      </c>
      <c r="F15" s="1167"/>
    </row>
    <row r="16" spans="1:6" s="38" customFormat="1" ht="12" customHeight="1" thickBot="1" x14ac:dyDescent="0.25">
      <c r="A16" s="162" t="s">
        <v>67</v>
      </c>
      <c r="B16" s="154" t="s">
        <v>307</v>
      </c>
      <c r="C16" s="809">
        <v>0</v>
      </c>
      <c r="D16" s="1016">
        <v>1466064</v>
      </c>
      <c r="E16" s="1010">
        <v>1466064</v>
      </c>
      <c r="F16" s="1167"/>
    </row>
    <row r="17" spans="1:6" s="38" customFormat="1" ht="12" customHeight="1" thickBot="1" x14ac:dyDescent="0.25">
      <c r="A17" s="17" t="s">
        <v>7</v>
      </c>
      <c r="B17" s="91" t="s">
        <v>151</v>
      </c>
      <c r="C17" s="968">
        <f>+C18+C19+C20+C21+C22</f>
        <v>255808159</v>
      </c>
      <c r="D17" s="1017">
        <f>+D18+D19+D20+D21+D22</f>
        <v>280330886</v>
      </c>
      <c r="E17" s="84">
        <f>+E18+E19+E20+E21+E22</f>
        <v>218821079</v>
      </c>
      <c r="F17" s="1167"/>
    </row>
    <row r="18" spans="1:6" s="38" customFormat="1" ht="12" customHeight="1" x14ac:dyDescent="0.2">
      <c r="A18" s="160" t="s">
        <v>69</v>
      </c>
      <c r="B18" s="152" t="s">
        <v>152</v>
      </c>
      <c r="C18" s="952"/>
      <c r="D18" s="1015"/>
      <c r="E18" s="86">
        <v>14122</v>
      </c>
      <c r="F18" s="1167"/>
    </row>
    <row r="19" spans="1:6" s="38" customFormat="1" ht="12" customHeight="1" x14ac:dyDescent="0.2">
      <c r="A19" s="161" t="s">
        <v>70</v>
      </c>
      <c r="B19" s="153" t="s">
        <v>153</v>
      </c>
      <c r="C19" s="809"/>
      <c r="D19" s="1016"/>
      <c r="E19" s="85"/>
      <c r="F19" s="1167"/>
    </row>
    <row r="20" spans="1:6" s="38" customFormat="1" ht="12" customHeight="1" x14ac:dyDescent="0.2">
      <c r="A20" s="161" t="s">
        <v>71</v>
      </c>
      <c r="B20" s="153" t="s">
        <v>298</v>
      </c>
      <c r="C20" s="809"/>
      <c r="D20" s="1016"/>
      <c r="E20" s="85"/>
      <c r="F20" s="1167"/>
    </row>
    <row r="21" spans="1:6" s="38" customFormat="1" ht="12" customHeight="1" x14ac:dyDescent="0.2">
      <c r="A21" s="161" t="s">
        <v>72</v>
      </c>
      <c r="B21" s="153" t="s">
        <v>299</v>
      </c>
      <c r="C21" s="809"/>
      <c r="D21" s="1016"/>
      <c r="E21" s="85"/>
      <c r="F21" s="1167"/>
    </row>
    <row r="22" spans="1:6" s="38" customFormat="1" ht="12" customHeight="1" x14ac:dyDescent="0.2">
      <c r="A22" s="161" t="s">
        <v>73</v>
      </c>
      <c r="B22" s="153" t="s">
        <v>154</v>
      </c>
      <c r="C22" s="954">
        <v>255808159</v>
      </c>
      <c r="D22" s="1016">
        <v>280330886</v>
      </c>
      <c r="E22" s="85">
        <v>218806957</v>
      </c>
      <c r="F22" s="1167"/>
    </row>
    <row r="23" spans="1:6" s="39" customFormat="1" ht="12" customHeight="1" thickBot="1" x14ac:dyDescent="0.25">
      <c r="A23" s="162" t="s">
        <v>79</v>
      </c>
      <c r="B23" s="154" t="s">
        <v>155</v>
      </c>
      <c r="C23" s="956">
        <v>48288366</v>
      </c>
      <c r="D23" s="961">
        <v>48288366</v>
      </c>
      <c r="E23" s="87">
        <v>16035150</v>
      </c>
      <c r="F23" s="1167"/>
    </row>
    <row r="24" spans="1:6" s="39" customFormat="1" ht="12" customHeight="1" thickBot="1" x14ac:dyDescent="0.25">
      <c r="A24" s="17" t="s">
        <v>8</v>
      </c>
      <c r="B24" s="13" t="s">
        <v>156</v>
      </c>
      <c r="C24" s="968">
        <f>+C25+C26+C27+C28+C29</f>
        <v>127479073</v>
      </c>
      <c r="D24" s="1017">
        <f>+D25+D26+D27+D28+D29</f>
        <v>1998599596</v>
      </c>
      <c r="E24" s="84">
        <f>+E25+E26+E27+E28+E29</f>
        <v>1986203301</v>
      </c>
      <c r="F24" s="1167"/>
    </row>
    <row r="25" spans="1:6" s="39" customFormat="1" ht="12" customHeight="1" x14ac:dyDescent="0.2">
      <c r="A25" s="160" t="s">
        <v>52</v>
      </c>
      <c r="B25" s="152" t="s">
        <v>157</v>
      </c>
      <c r="C25" s="952">
        <v>0</v>
      </c>
      <c r="D25" s="1013">
        <v>1318500100</v>
      </c>
      <c r="E25" s="86">
        <v>1315000000</v>
      </c>
      <c r="F25" s="1167"/>
    </row>
    <row r="26" spans="1:6" s="38" customFormat="1" ht="12" customHeight="1" x14ac:dyDescent="0.2">
      <c r="A26" s="161" t="s">
        <v>53</v>
      </c>
      <c r="B26" s="153" t="s">
        <v>158</v>
      </c>
      <c r="C26" s="809"/>
      <c r="D26" s="1016"/>
      <c r="E26" s="85"/>
      <c r="F26" s="1167"/>
    </row>
    <row r="27" spans="1:6" s="39" customFormat="1" ht="12" customHeight="1" x14ac:dyDescent="0.2">
      <c r="A27" s="161" t="s">
        <v>54</v>
      </c>
      <c r="B27" s="153" t="s">
        <v>300</v>
      </c>
      <c r="C27" s="809"/>
      <c r="D27" s="1016"/>
      <c r="E27" s="85"/>
      <c r="F27" s="1167"/>
    </row>
    <row r="28" spans="1:6" s="39" customFormat="1" ht="12" customHeight="1" x14ac:dyDescent="0.2">
      <c r="A28" s="161" t="s">
        <v>55</v>
      </c>
      <c r="B28" s="153" t="s">
        <v>301</v>
      </c>
      <c r="C28" s="809"/>
      <c r="D28" s="1016"/>
      <c r="E28" s="85"/>
      <c r="F28" s="1167"/>
    </row>
    <row r="29" spans="1:6" s="39" customFormat="1" ht="12" customHeight="1" x14ac:dyDescent="0.2">
      <c r="A29" s="161" t="s">
        <v>97</v>
      </c>
      <c r="B29" s="153" t="s">
        <v>159</v>
      </c>
      <c r="C29" s="954">
        <v>127479073</v>
      </c>
      <c r="D29" s="1016">
        <v>680099496</v>
      </c>
      <c r="E29" s="85">
        <v>671203301</v>
      </c>
      <c r="F29" s="1167"/>
    </row>
    <row r="30" spans="1:6" s="39" customFormat="1" ht="12" customHeight="1" thickBot="1" x14ac:dyDescent="0.25">
      <c r="A30" s="162" t="s">
        <v>98</v>
      </c>
      <c r="B30" s="154" t="s">
        <v>160</v>
      </c>
      <c r="C30" s="956">
        <v>27379073</v>
      </c>
      <c r="D30" s="967">
        <v>27379073</v>
      </c>
      <c r="E30" s="87">
        <v>18582878</v>
      </c>
      <c r="F30" s="1167"/>
    </row>
    <row r="31" spans="1:6" s="39" customFormat="1" ht="12" customHeight="1" thickBot="1" x14ac:dyDescent="0.25">
      <c r="A31" s="17" t="s">
        <v>99</v>
      </c>
      <c r="B31" s="13" t="s">
        <v>891</v>
      </c>
      <c r="C31" s="146">
        <f>SUM(C33:C37)</f>
        <v>398600000</v>
      </c>
      <c r="D31" s="146">
        <f>SUM(D33:D37)</f>
        <v>398600000</v>
      </c>
      <c r="E31" s="146">
        <f>SUM(E33:E37)</f>
        <v>368475820</v>
      </c>
      <c r="F31" s="1167"/>
    </row>
    <row r="32" spans="1:6" s="39" customFormat="1" ht="12" customHeight="1" x14ac:dyDescent="0.2">
      <c r="A32" s="534" t="s">
        <v>161</v>
      </c>
      <c r="B32" s="152" t="s">
        <v>790</v>
      </c>
      <c r="C32" s="1015">
        <v>385080000</v>
      </c>
      <c r="D32" s="960">
        <v>385080000</v>
      </c>
      <c r="E32" s="142">
        <f t="shared" ref="E32" si="1">SUM(E33:E34)</f>
        <v>354087632</v>
      </c>
      <c r="F32" s="1167"/>
    </row>
    <row r="33" spans="1:6" s="39" customFormat="1" ht="12" customHeight="1" x14ac:dyDescent="0.2">
      <c r="A33" s="161" t="s">
        <v>791</v>
      </c>
      <c r="B33" s="152" t="s">
        <v>792</v>
      </c>
      <c r="C33" s="1016">
        <v>88280000</v>
      </c>
      <c r="D33" s="959">
        <v>88280000</v>
      </c>
      <c r="E33" s="85">
        <v>91977110</v>
      </c>
      <c r="F33" s="1167"/>
    </row>
    <row r="34" spans="1:6" s="39" customFormat="1" ht="12" customHeight="1" x14ac:dyDescent="0.2">
      <c r="A34" s="161" t="s">
        <v>793</v>
      </c>
      <c r="B34" s="152" t="s">
        <v>794</v>
      </c>
      <c r="C34" s="1016">
        <v>296800000</v>
      </c>
      <c r="D34" s="959">
        <v>296800000</v>
      </c>
      <c r="E34" s="85">
        <v>262110522</v>
      </c>
      <c r="F34" s="1167"/>
    </row>
    <row r="35" spans="1:6" s="39" customFormat="1" ht="12" customHeight="1" x14ac:dyDescent="0.2">
      <c r="A35" s="161" t="s">
        <v>162</v>
      </c>
      <c r="B35" s="152" t="s">
        <v>795</v>
      </c>
      <c r="C35" s="1016"/>
      <c r="D35" s="959"/>
      <c r="E35" s="85">
        <v>1</v>
      </c>
      <c r="F35" s="1167"/>
    </row>
    <row r="36" spans="1:6" s="39" customFormat="1" ht="12" customHeight="1" x14ac:dyDescent="0.2">
      <c r="A36" s="161" t="s">
        <v>163</v>
      </c>
      <c r="B36" s="152" t="s">
        <v>796</v>
      </c>
      <c r="C36" s="1016"/>
      <c r="D36" s="959"/>
      <c r="E36" s="85">
        <v>774900</v>
      </c>
      <c r="F36" s="1167"/>
    </row>
    <row r="37" spans="1:6" s="39" customFormat="1" ht="12" customHeight="1" thickBot="1" x14ac:dyDescent="0.25">
      <c r="A37" s="162" t="s">
        <v>164</v>
      </c>
      <c r="B37" s="152" t="s">
        <v>797</v>
      </c>
      <c r="C37" s="961">
        <v>13520000</v>
      </c>
      <c r="D37" s="961">
        <v>13520000</v>
      </c>
      <c r="E37" s="87">
        <v>13613287</v>
      </c>
      <c r="F37" s="1167"/>
    </row>
    <row r="38" spans="1:6" s="39" customFormat="1" ht="12" customHeight="1" thickBot="1" x14ac:dyDescent="0.25">
      <c r="A38" s="17" t="s">
        <v>10</v>
      </c>
      <c r="B38" s="13" t="s">
        <v>308</v>
      </c>
      <c r="C38" s="140">
        <f>SUM(C39:C49)</f>
        <v>66120065</v>
      </c>
      <c r="D38" s="203">
        <f>SUM(D39:D49)</f>
        <v>71231666</v>
      </c>
      <c r="E38" s="84">
        <f>SUM(E39:E49)</f>
        <v>67817725</v>
      </c>
      <c r="F38" s="1167"/>
    </row>
    <row r="39" spans="1:6" s="39" customFormat="1" ht="12" customHeight="1" x14ac:dyDescent="0.2">
      <c r="A39" s="160" t="s">
        <v>56</v>
      </c>
      <c r="B39" s="152" t="s">
        <v>167</v>
      </c>
      <c r="C39" s="1015"/>
      <c r="D39" s="969"/>
      <c r="E39" s="86">
        <v>1573229</v>
      </c>
      <c r="F39" s="1167"/>
    </row>
    <row r="40" spans="1:6" s="39" customFormat="1" ht="12" customHeight="1" x14ac:dyDescent="0.2">
      <c r="A40" s="161" t="s">
        <v>57</v>
      </c>
      <c r="B40" s="153" t="s">
        <v>168</v>
      </c>
      <c r="C40" s="1016">
        <v>16336984</v>
      </c>
      <c r="D40" s="970">
        <v>16336984</v>
      </c>
      <c r="E40" s="85">
        <v>14166836</v>
      </c>
      <c r="F40" s="1167"/>
    </row>
    <row r="41" spans="1:6" s="39" customFormat="1" ht="12" customHeight="1" x14ac:dyDescent="0.2">
      <c r="A41" s="161" t="s">
        <v>58</v>
      </c>
      <c r="B41" s="153" t="s">
        <v>169</v>
      </c>
      <c r="C41" s="1016">
        <v>9686744</v>
      </c>
      <c r="D41" s="970">
        <v>9863044</v>
      </c>
      <c r="E41" s="85">
        <v>9840933</v>
      </c>
      <c r="F41" s="1167"/>
    </row>
    <row r="42" spans="1:6" s="39" customFormat="1" ht="12" customHeight="1" x14ac:dyDescent="0.2">
      <c r="A42" s="161" t="s">
        <v>101</v>
      </c>
      <c r="B42" s="153" t="s">
        <v>170</v>
      </c>
      <c r="C42" s="1016">
        <v>3743473</v>
      </c>
      <c r="D42" s="970">
        <v>6822173</v>
      </c>
      <c r="E42" s="85">
        <v>6598332</v>
      </c>
      <c r="F42" s="1167"/>
    </row>
    <row r="43" spans="1:6" s="39" customFormat="1" ht="12" customHeight="1" x14ac:dyDescent="0.2">
      <c r="A43" s="161" t="s">
        <v>102</v>
      </c>
      <c r="B43" s="153" t="s">
        <v>171</v>
      </c>
      <c r="C43" s="1016"/>
      <c r="D43" s="970"/>
      <c r="E43" s="85"/>
      <c r="F43" s="1167"/>
    </row>
    <row r="44" spans="1:6" s="39" customFormat="1" ht="12" customHeight="1" x14ac:dyDescent="0.2">
      <c r="A44" s="161" t="s">
        <v>103</v>
      </c>
      <c r="B44" s="153" t="s">
        <v>172</v>
      </c>
      <c r="C44" s="1016">
        <v>8308287</v>
      </c>
      <c r="D44" s="970">
        <v>8355888</v>
      </c>
      <c r="E44" s="85">
        <v>7842894</v>
      </c>
      <c r="F44" s="1167"/>
    </row>
    <row r="45" spans="1:6" s="39" customFormat="1" ht="12" customHeight="1" x14ac:dyDescent="0.2">
      <c r="A45" s="161" t="s">
        <v>104</v>
      </c>
      <c r="B45" s="153" t="s">
        <v>173</v>
      </c>
      <c r="C45" s="1016">
        <v>25525800</v>
      </c>
      <c r="D45" s="970">
        <v>27334800</v>
      </c>
      <c r="E45" s="85">
        <v>7261000</v>
      </c>
      <c r="F45" s="1167"/>
    </row>
    <row r="46" spans="1:6" s="39" customFormat="1" ht="12" customHeight="1" x14ac:dyDescent="0.2">
      <c r="A46" s="161" t="s">
        <v>105</v>
      </c>
      <c r="B46" s="153" t="s">
        <v>435</v>
      </c>
      <c r="C46" s="1016"/>
      <c r="D46" s="970"/>
      <c r="E46" s="85">
        <v>5909</v>
      </c>
      <c r="F46" s="1167"/>
    </row>
    <row r="47" spans="1:6" s="39" customFormat="1" ht="12" customHeight="1" x14ac:dyDescent="0.2">
      <c r="A47" s="161" t="s">
        <v>165</v>
      </c>
      <c r="B47" s="153" t="s">
        <v>175</v>
      </c>
      <c r="C47" s="962"/>
      <c r="D47" s="975"/>
      <c r="E47" s="88"/>
      <c r="F47" s="1167"/>
    </row>
    <row r="48" spans="1:6" s="39" customFormat="1" ht="12" customHeight="1" x14ac:dyDescent="0.2">
      <c r="A48" s="162" t="s">
        <v>166</v>
      </c>
      <c r="B48" s="154" t="s">
        <v>310</v>
      </c>
      <c r="C48" s="963">
        <v>1000000</v>
      </c>
      <c r="D48" s="976">
        <v>1000000</v>
      </c>
      <c r="E48" s="89">
        <v>17361516</v>
      </c>
      <c r="F48" s="1167"/>
    </row>
    <row r="49" spans="1:6" s="39" customFormat="1" ht="12" customHeight="1" thickBot="1" x14ac:dyDescent="0.25">
      <c r="A49" s="162" t="s">
        <v>309</v>
      </c>
      <c r="B49" s="154" t="s">
        <v>176</v>
      </c>
      <c r="C49" s="963">
        <v>1518777</v>
      </c>
      <c r="D49" s="976">
        <v>1518777</v>
      </c>
      <c r="E49" s="89">
        <v>3167076</v>
      </c>
      <c r="F49" s="1167"/>
    </row>
    <row r="50" spans="1:6" s="39" customFormat="1" ht="12" customHeight="1" thickBot="1" x14ac:dyDescent="0.25">
      <c r="A50" s="17" t="s">
        <v>11</v>
      </c>
      <c r="B50" s="13" t="s">
        <v>177</v>
      </c>
      <c r="C50" s="140">
        <f>SUM(C51:C55)</f>
        <v>63000000</v>
      </c>
      <c r="D50" s="203">
        <f>SUM(D51:D55)</f>
        <v>63000000</v>
      </c>
      <c r="E50" s="84">
        <f>SUM(E51:E55)</f>
        <v>23992339</v>
      </c>
      <c r="F50" s="1167"/>
    </row>
    <row r="51" spans="1:6" s="39" customFormat="1" ht="12" customHeight="1" x14ac:dyDescent="0.2">
      <c r="A51" s="160" t="s">
        <v>59</v>
      </c>
      <c r="B51" s="152" t="s">
        <v>181</v>
      </c>
      <c r="C51" s="183"/>
      <c r="D51" s="977"/>
      <c r="E51" s="90"/>
      <c r="F51" s="1167"/>
    </row>
    <row r="52" spans="1:6" s="39" customFormat="1" ht="12" customHeight="1" x14ac:dyDescent="0.2">
      <c r="A52" s="161" t="s">
        <v>60</v>
      </c>
      <c r="B52" s="153" t="s">
        <v>182</v>
      </c>
      <c r="C52" s="962">
        <v>63000000</v>
      </c>
      <c r="D52" s="975">
        <v>63000000</v>
      </c>
      <c r="E52" s="88">
        <v>23960843</v>
      </c>
      <c r="F52" s="1167"/>
    </row>
    <row r="53" spans="1:6" s="39" customFormat="1" ht="12" customHeight="1" x14ac:dyDescent="0.2">
      <c r="A53" s="161" t="s">
        <v>178</v>
      </c>
      <c r="B53" s="153" t="s">
        <v>183</v>
      </c>
      <c r="C53" s="144">
        <v>0</v>
      </c>
      <c r="D53" s="975"/>
      <c r="E53" s="88">
        <v>31496</v>
      </c>
      <c r="F53" s="1167"/>
    </row>
    <row r="54" spans="1:6" s="39" customFormat="1" ht="12" customHeight="1" x14ac:dyDescent="0.2">
      <c r="A54" s="161" t="s">
        <v>179</v>
      </c>
      <c r="B54" s="153" t="s">
        <v>184</v>
      </c>
      <c r="C54" s="144">
        <v>0</v>
      </c>
      <c r="D54" s="975"/>
      <c r="E54" s="88"/>
      <c r="F54" s="1167"/>
    </row>
    <row r="55" spans="1:6" s="39" customFormat="1" ht="12" customHeight="1" thickBot="1" x14ac:dyDescent="0.25">
      <c r="A55" s="162" t="s">
        <v>180</v>
      </c>
      <c r="B55" s="154" t="s">
        <v>185</v>
      </c>
      <c r="C55" s="145"/>
      <c r="D55" s="976"/>
      <c r="E55" s="89"/>
      <c r="F55" s="1167"/>
    </row>
    <row r="56" spans="1:6" s="39" customFormat="1" ht="12" customHeight="1" thickBot="1" x14ac:dyDescent="0.25">
      <c r="A56" s="17" t="s">
        <v>106</v>
      </c>
      <c r="B56" s="13" t="s">
        <v>186</v>
      </c>
      <c r="C56" s="140">
        <f>SUM(C57:C59)</f>
        <v>1200000</v>
      </c>
      <c r="D56" s="203">
        <f>SUM(D57:D59)</f>
        <v>11200000</v>
      </c>
      <c r="E56" s="84">
        <f>SUM(E57:E59)</f>
        <v>10755553</v>
      </c>
      <c r="F56" s="1167"/>
    </row>
    <row r="57" spans="1:6" s="39" customFormat="1" ht="12" customHeight="1" x14ac:dyDescent="0.2">
      <c r="A57" s="160" t="s">
        <v>61</v>
      </c>
      <c r="B57" s="152" t="s">
        <v>187</v>
      </c>
      <c r="C57" s="142"/>
      <c r="D57" s="969">
        <v>1000000</v>
      </c>
      <c r="E57" s="86">
        <v>323648</v>
      </c>
      <c r="F57" s="1167"/>
    </row>
    <row r="58" spans="1:6" s="39" customFormat="1" ht="12" customHeight="1" x14ac:dyDescent="0.2">
      <c r="A58" s="161" t="s">
        <v>62</v>
      </c>
      <c r="B58" s="153" t="s">
        <v>302</v>
      </c>
      <c r="C58" s="1016">
        <v>200000</v>
      </c>
      <c r="D58" s="970">
        <v>200000</v>
      </c>
      <c r="E58" s="85">
        <v>431905</v>
      </c>
      <c r="F58" s="1167"/>
    </row>
    <row r="59" spans="1:6" s="39" customFormat="1" ht="12" customHeight="1" x14ac:dyDescent="0.2">
      <c r="A59" s="161" t="s">
        <v>190</v>
      </c>
      <c r="B59" s="153" t="s">
        <v>188</v>
      </c>
      <c r="C59" s="1016">
        <v>1000000</v>
      </c>
      <c r="D59" s="970">
        <v>10000000</v>
      </c>
      <c r="E59" s="85">
        <v>10000000</v>
      </c>
      <c r="F59" s="1167"/>
    </row>
    <row r="60" spans="1:6" s="39" customFormat="1" ht="12" customHeight="1" thickBot="1" x14ac:dyDescent="0.25">
      <c r="A60" s="162" t="s">
        <v>191</v>
      </c>
      <c r="B60" s="154" t="s">
        <v>189</v>
      </c>
      <c r="C60" s="143"/>
      <c r="D60" s="971"/>
      <c r="E60" s="87"/>
      <c r="F60" s="1167"/>
    </row>
    <row r="61" spans="1:6" s="39" customFormat="1" ht="12" customHeight="1" thickBot="1" x14ac:dyDescent="0.25">
      <c r="A61" s="17" t="s">
        <v>13</v>
      </c>
      <c r="B61" s="91" t="s">
        <v>192</v>
      </c>
      <c r="C61" s="140">
        <f>SUM(C62:C64)</f>
        <v>0</v>
      </c>
      <c r="D61" s="203">
        <f>SUM(D62:D64)</f>
        <v>0</v>
      </c>
      <c r="E61" s="84">
        <f>SUM(E62:E64)</f>
        <v>0</v>
      </c>
      <c r="F61" s="1167"/>
    </row>
    <row r="62" spans="1:6" s="39" customFormat="1" ht="12" customHeight="1" x14ac:dyDescent="0.2">
      <c r="A62" s="160" t="s">
        <v>107</v>
      </c>
      <c r="B62" s="152" t="s">
        <v>194</v>
      </c>
      <c r="C62" s="144"/>
      <c r="D62" s="975"/>
      <c r="E62" s="88"/>
      <c r="F62" s="1167"/>
    </row>
    <row r="63" spans="1:6" s="39" customFormat="1" ht="12" customHeight="1" x14ac:dyDescent="0.2">
      <c r="A63" s="161" t="s">
        <v>108</v>
      </c>
      <c r="B63" s="153" t="s">
        <v>303</v>
      </c>
      <c r="C63" s="144"/>
      <c r="D63" s="975"/>
      <c r="E63" s="88"/>
      <c r="F63" s="1167"/>
    </row>
    <row r="64" spans="1:6" s="39" customFormat="1" ht="12" customHeight="1" x14ac:dyDescent="0.2">
      <c r="A64" s="161" t="s">
        <v>131</v>
      </c>
      <c r="B64" s="153" t="s">
        <v>195</v>
      </c>
      <c r="C64" s="144">
        <v>0</v>
      </c>
      <c r="D64" s="975"/>
      <c r="E64" s="88"/>
      <c r="F64" s="1167"/>
    </row>
    <row r="65" spans="1:6" s="39" customFormat="1" ht="12" customHeight="1" thickBot="1" x14ac:dyDescent="0.25">
      <c r="A65" s="162" t="s">
        <v>193</v>
      </c>
      <c r="B65" s="154" t="s">
        <v>196</v>
      </c>
      <c r="C65" s="144"/>
      <c r="D65" s="975"/>
      <c r="E65" s="88"/>
      <c r="F65" s="1167"/>
    </row>
    <row r="66" spans="1:6" s="39" customFormat="1" ht="12" customHeight="1" thickBot="1" x14ac:dyDescent="0.25">
      <c r="A66" s="17" t="s">
        <v>14</v>
      </c>
      <c r="B66" s="13" t="s">
        <v>197</v>
      </c>
      <c r="C66" s="146">
        <f>+C8+C17+C24+C31+C38+C50+C56+C61</f>
        <v>2498930226</v>
      </c>
      <c r="D66" s="207">
        <f>+D8+D17+D24+D31+D38+D50+D56+D61</f>
        <v>4457224442</v>
      </c>
      <c r="E66" s="172">
        <f>+E8+E17+E24+E31+E38+E50+E56+E61</f>
        <v>4197616274</v>
      </c>
      <c r="F66" s="1167"/>
    </row>
    <row r="67" spans="1:6" s="39" customFormat="1" ht="12" customHeight="1" thickBot="1" x14ac:dyDescent="0.2">
      <c r="A67" s="163" t="s">
        <v>276</v>
      </c>
      <c r="B67" s="91" t="s">
        <v>199</v>
      </c>
      <c r="C67" s="140">
        <f>SUM(C68:C70)</f>
        <v>868562529</v>
      </c>
      <c r="D67" s="203">
        <f>SUM(D68:D70)</f>
        <v>1189060316</v>
      </c>
      <c r="E67" s="84">
        <f>SUM(E68:E70)</f>
        <v>1015000568</v>
      </c>
      <c r="F67" s="1167"/>
    </row>
    <row r="68" spans="1:6" s="39" customFormat="1" ht="12" customHeight="1" x14ac:dyDescent="0.2">
      <c r="A68" s="160" t="s">
        <v>226</v>
      </c>
      <c r="B68" s="152" t="s">
        <v>200</v>
      </c>
      <c r="C68" s="962">
        <v>18562529</v>
      </c>
      <c r="D68" s="975">
        <v>185562529</v>
      </c>
      <c r="E68" s="88">
        <v>11502781</v>
      </c>
      <c r="F68" s="1167"/>
    </row>
    <row r="69" spans="1:6" s="39" customFormat="1" ht="12" customHeight="1" x14ac:dyDescent="0.2">
      <c r="A69" s="161" t="s">
        <v>235</v>
      </c>
      <c r="B69" s="153" t="s">
        <v>201</v>
      </c>
      <c r="C69" s="962">
        <v>850000000</v>
      </c>
      <c r="D69" s="975">
        <v>1003497787</v>
      </c>
      <c r="E69" s="88">
        <v>1003497787</v>
      </c>
      <c r="F69" s="1167"/>
    </row>
    <row r="70" spans="1:6" s="39" customFormat="1" ht="12" customHeight="1" thickBot="1" x14ac:dyDescent="0.25">
      <c r="A70" s="170" t="s">
        <v>236</v>
      </c>
      <c r="B70" s="257" t="s">
        <v>333</v>
      </c>
      <c r="C70" s="258"/>
      <c r="D70" s="978"/>
      <c r="E70" s="259"/>
      <c r="F70" s="1167"/>
    </row>
    <row r="71" spans="1:6" s="39" customFormat="1" ht="12" customHeight="1" thickBot="1" x14ac:dyDescent="0.2">
      <c r="A71" s="163" t="s">
        <v>202</v>
      </c>
      <c r="B71" s="91" t="s">
        <v>203</v>
      </c>
      <c r="C71" s="140">
        <f>SUM(C72:C75)</f>
        <v>0</v>
      </c>
      <c r="D71" s="140">
        <f>SUM(D72:D75)</f>
        <v>0</v>
      </c>
      <c r="E71" s="84">
        <f>SUM(E72:E75)</f>
        <v>0</v>
      </c>
      <c r="F71" s="1167"/>
    </row>
    <row r="72" spans="1:6" s="39" customFormat="1" ht="12" customHeight="1" x14ac:dyDescent="0.2">
      <c r="A72" s="160" t="s">
        <v>85</v>
      </c>
      <c r="B72" s="244" t="s">
        <v>204</v>
      </c>
      <c r="C72" s="144"/>
      <c r="D72" s="144"/>
      <c r="E72" s="88"/>
      <c r="F72" s="1167"/>
    </row>
    <row r="73" spans="1:6" s="39" customFormat="1" ht="12" customHeight="1" x14ac:dyDescent="0.2">
      <c r="A73" s="161" t="s">
        <v>86</v>
      </c>
      <c r="B73" s="244" t="s">
        <v>442</v>
      </c>
      <c r="C73" s="144"/>
      <c r="D73" s="144"/>
      <c r="E73" s="88"/>
      <c r="F73" s="1167"/>
    </row>
    <row r="74" spans="1:6" s="39" customFormat="1" ht="12" customHeight="1" x14ac:dyDescent="0.2">
      <c r="A74" s="161" t="s">
        <v>227</v>
      </c>
      <c r="B74" s="244" t="s">
        <v>205</v>
      </c>
      <c r="C74" s="144"/>
      <c r="D74" s="144"/>
      <c r="E74" s="88"/>
      <c r="F74" s="1167"/>
    </row>
    <row r="75" spans="1:6" s="39" customFormat="1" ht="12" customHeight="1" thickBot="1" x14ac:dyDescent="0.25">
      <c r="A75" s="162" t="s">
        <v>228</v>
      </c>
      <c r="B75" s="245" t="s">
        <v>443</v>
      </c>
      <c r="C75" s="144"/>
      <c r="D75" s="144"/>
      <c r="E75" s="88"/>
      <c r="F75" s="1167"/>
    </row>
    <row r="76" spans="1:6" s="39" customFormat="1" ht="12" customHeight="1" thickBot="1" x14ac:dyDescent="0.2">
      <c r="A76" s="163" t="s">
        <v>206</v>
      </c>
      <c r="B76" s="91" t="s">
        <v>207</v>
      </c>
      <c r="C76" s="140">
        <f>SUM(C77:C78)</f>
        <v>847491815</v>
      </c>
      <c r="D76" s="140">
        <f>SUM(D77:D78)</f>
        <v>847491815</v>
      </c>
      <c r="E76" s="84">
        <f>SUM(E77:E78)</f>
        <v>847491815</v>
      </c>
      <c r="F76" s="1167"/>
    </row>
    <row r="77" spans="1:6" s="39" customFormat="1" ht="12" customHeight="1" x14ac:dyDescent="0.2">
      <c r="A77" s="160" t="s">
        <v>229</v>
      </c>
      <c r="B77" s="152" t="s">
        <v>208</v>
      </c>
      <c r="C77" s="962">
        <v>847491815</v>
      </c>
      <c r="D77" s="1006">
        <v>847491815</v>
      </c>
      <c r="E77" s="88">
        <v>847491815</v>
      </c>
      <c r="F77" s="1167"/>
    </row>
    <row r="78" spans="1:6" s="39" customFormat="1" ht="12" customHeight="1" thickBot="1" x14ac:dyDescent="0.25">
      <c r="A78" s="162" t="s">
        <v>230</v>
      </c>
      <c r="B78" s="154" t="s">
        <v>209</v>
      </c>
      <c r="C78" s="144"/>
      <c r="D78" s="144"/>
      <c r="E78" s="88"/>
      <c r="F78" s="1167"/>
    </row>
    <row r="79" spans="1:6" s="38" customFormat="1" ht="12" customHeight="1" thickBot="1" x14ac:dyDescent="0.2">
      <c r="A79" s="163" t="s">
        <v>210</v>
      </c>
      <c r="B79" s="91" t="s">
        <v>211</v>
      </c>
      <c r="C79" s="140">
        <f>SUM(C80:C82)</f>
        <v>48966750</v>
      </c>
      <c r="D79" s="140">
        <f>SUM(D80:D82)</f>
        <v>48966750</v>
      </c>
      <c r="E79" s="84">
        <f>SUM(E80:E82)</f>
        <v>55076107</v>
      </c>
      <c r="F79" s="1167"/>
    </row>
    <row r="80" spans="1:6" s="39" customFormat="1" ht="12" customHeight="1" x14ac:dyDescent="0.2">
      <c r="A80" s="160" t="s">
        <v>231</v>
      </c>
      <c r="B80" s="152" t="s">
        <v>212</v>
      </c>
      <c r="C80" s="962">
        <v>48966750</v>
      </c>
      <c r="D80" s="1007">
        <v>48966750</v>
      </c>
      <c r="E80" s="88">
        <v>55076107</v>
      </c>
      <c r="F80" s="1167"/>
    </row>
    <row r="81" spans="1:6" s="39" customFormat="1" ht="12" customHeight="1" x14ac:dyDescent="0.2">
      <c r="A81" s="161" t="s">
        <v>232</v>
      </c>
      <c r="B81" s="153" t="s">
        <v>213</v>
      </c>
      <c r="C81" s="144"/>
      <c r="D81" s="144"/>
      <c r="E81" s="88"/>
      <c r="F81" s="1167"/>
    </row>
    <row r="82" spans="1:6" s="39" customFormat="1" ht="12" customHeight="1" thickBot="1" x14ac:dyDescent="0.25">
      <c r="A82" s="162" t="s">
        <v>233</v>
      </c>
      <c r="B82" s="154" t="s">
        <v>444</v>
      </c>
      <c r="C82" s="144"/>
      <c r="D82" s="144"/>
      <c r="E82" s="88"/>
      <c r="F82" s="1167"/>
    </row>
    <row r="83" spans="1:6" s="39" customFormat="1" ht="12" customHeight="1" thickBot="1" x14ac:dyDescent="0.2">
      <c r="A83" s="163" t="s">
        <v>214</v>
      </c>
      <c r="B83" s="91" t="s">
        <v>234</v>
      </c>
      <c r="C83" s="140">
        <f>SUM(C84:C87)</f>
        <v>0</v>
      </c>
      <c r="D83" s="140">
        <f>SUM(D84:D87)</f>
        <v>0</v>
      </c>
      <c r="E83" s="84">
        <f>SUM(E84:E87)</f>
        <v>0</v>
      </c>
      <c r="F83" s="1167"/>
    </row>
    <row r="84" spans="1:6" s="39" customFormat="1" ht="12" customHeight="1" x14ac:dyDescent="0.2">
      <c r="A84" s="164" t="s">
        <v>215</v>
      </c>
      <c r="B84" s="152" t="s">
        <v>216</v>
      </c>
      <c r="C84" s="144"/>
      <c r="D84" s="144"/>
      <c r="E84" s="88"/>
      <c r="F84" s="1167"/>
    </row>
    <row r="85" spans="1:6" s="39" customFormat="1" ht="12" customHeight="1" x14ac:dyDescent="0.2">
      <c r="A85" s="165" t="s">
        <v>217</v>
      </c>
      <c r="B85" s="153" t="s">
        <v>218</v>
      </c>
      <c r="C85" s="144"/>
      <c r="D85" s="144"/>
      <c r="E85" s="88"/>
      <c r="F85" s="1167"/>
    </row>
    <row r="86" spans="1:6" s="39" customFormat="1" ht="12" customHeight="1" x14ac:dyDescent="0.2">
      <c r="A86" s="165" t="s">
        <v>219</v>
      </c>
      <c r="B86" s="153" t="s">
        <v>220</v>
      </c>
      <c r="C86" s="144"/>
      <c r="D86" s="144"/>
      <c r="E86" s="88"/>
      <c r="F86" s="1167"/>
    </row>
    <row r="87" spans="1:6" s="38" customFormat="1" ht="12" customHeight="1" thickBot="1" x14ac:dyDescent="0.25">
      <c r="A87" s="166" t="s">
        <v>221</v>
      </c>
      <c r="B87" s="154" t="s">
        <v>222</v>
      </c>
      <c r="C87" s="144"/>
      <c r="D87" s="144"/>
      <c r="E87" s="88"/>
      <c r="F87" s="1167"/>
    </row>
    <row r="88" spans="1:6" s="38" customFormat="1" ht="12" customHeight="1" thickBot="1" x14ac:dyDescent="0.2">
      <c r="A88" s="163" t="s">
        <v>223</v>
      </c>
      <c r="B88" s="91" t="s">
        <v>347</v>
      </c>
      <c r="C88" s="184"/>
      <c r="D88" s="184"/>
      <c r="E88" s="185"/>
      <c r="F88" s="1167"/>
    </row>
    <row r="89" spans="1:6" s="38" customFormat="1" ht="12" customHeight="1" thickBot="1" x14ac:dyDescent="0.2">
      <c r="A89" s="163" t="s">
        <v>362</v>
      </c>
      <c r="B89" s="91" t="s">
        <v>224</v>
      </c>
      <c r="C89" s="184"/>
      <c r="D89" s="184"/>
      <c r="E89" s="185"/>
      <c r="F89" s="1167"/>
    </row>
    <row r="90" spans="1:6" s="38" customFormat="1" ht="12" customHeight="1" thickBot="1" x14ac:dyDescent="0.2">
      <c r="A90" s="163" t="s">
        <v>363</v>
      </c>
      <c r="B90" s="155" t="s">
        <v>350</v>
      </c>
      <c r="C90" s="146">
        <f>+C67+C71+C76+C79+C83+C89+C88</f>
        <v>1765021094</v>
      </c>
      <c r="D90" s="146">
        <f>+D67+D71+D76+D79+D83+D89+D88</f>
        <v>2085518881</v>
      </c>
      <c r="E90" s="172">
        <f>+E67+E71+E76+E79+E83+E89+E88</f>
        <v>1917568490</v>
      </c>
      <c r="F90" s="1167"/>
    </row>
    <row r="91" spans="1:6" s="38" customFormat="1" ht="12" customHeight="1" thickBot="1" x14ac:dyDescent="0.2">
      <c r="A91" s="167" t="s">
        <v>364</v>
      </c>
      <c r="B91" s="156" t="s">
        <v>365</v>
      </c>
      <c r="C91" s="146">
        <f>+C66+C90</f>
        <v>4263951320</v>
      </c>
      <c r="D91" s="146">
        <f>+D66+D90</f>
        <v>6542743323</v>
      </c>
      <c r="E91" s="172">
        <f>+E66+E90</f>
        <v>6115184764</v>
      </c>
      <c r="F91" s="1167"/>
    </row>
    <row r="92" spans="1:6" s="39" customFormat="1" ht="15.2" customHeight="1" thickBot="1" x14ac:dyDescent="0.25">
      <c r="A92" s="70"/>
      <c r="B92" s="71"/>
      <c r="C92" s="125"/>
      <c r="F92" s="1167"/>
    </row>
    <row r="93" spans="1:6" s="32" customFormat="1" ht="16.5" customHeight="1" thickBot="1" x14ac:dyDescent="0.25">
      <c r="A93" s="1363" t="s">
        <v>40</v>
      </c>
      <c r="B93" s="1364"/>
      <c r="C93" s="1364"/>
      <c r="D93" s="1364"/>
      <c r="E93" s="1365"/>
      <c r="F93" s="1167"/>
    </row>
    <row r="94" spans="1:6" s="40" customFormat="1" ht="12" customHeight="1" thickBot="1" x14ac:dyDescent="0.25">
      <c r="A94" s="147" t="s">
        <v>6</v>
      </c>
      <c r="B94" s="16" t="s">
        <v>967</v>
      </c>
      <c r="C94" s="139">
        <f>+C95+C96+C97+C98+C99+C111</f>
        <v>836691513</v>
      </c>
      <c r="D94" s="139">
        <f>+D95+D96+D97+D98+D99+D111</f>
        <v>1078267075</v>
      </c>
      <c r="E94" s="187">
        <f>+E95+E96+E97+E98+E99+E111</f>
        <v>643749016</v>
      </c>
      <c r="F94" s="1167"/>
    </row>
    <row r="95" spans="1:6" ht="12" customHeight="1" x14ac:dyDescent="0.2">
      <c r="A95" s="168" t="s">
        <v>63</v>
      </c>
      <c r="B95" s="8" t="s">
        <v>35</v>
      </c>
      <c r="C95" s="966">
        <v>47896992</v>
      </c>
      <c r="D95" s="966">
        <v>56666242</v>
      </c>
      <c r="E95" s="188">
        <v>49326714</v>
      </c>
      <c r="F95" s="1167"/>
    </row>
    <row r="96" spans="1:6" ht="12" customHeight="1" x14ac:dyDescent="0.2">
      <c r="A96" s="161" t="s">
        <v>64</v>
      </c>
      <c r="B96" s="6" t="s">
        <v>109</v>
      </c>
      <c r="C96" s="1016">
        <v>8163648</v>
      </c>
      <c r="D96" s="1008">
        <v>9540974</v>
      </c>
      <c r="E96" s="85">
        <v>6970536</v>
      </c>
      <c r="F96" s="1167"/>
    </row>
    <row r="97" spans="1:6" ht="12" customHeight="1" x14ac:dyDescent="0.2">
      <c r="A97" s="161" t="s">
        <v>65</v>
      </c>
      <c r="B97" s="6" t="s">
        <v>83</v>
      </c>
      <c r="C97" s="961">
        <v>408817024</v>
      </c>
      <c r="D97" s="1008">
        <v>623288859</v>
      </c>
      <c r="E97" s="87">
        <v>336836864</v>
      </c>
      <c r="F97" s="1167"/>
    </row>
    <row r="98" spans="1:6" ht="12" customHeight="1" x14ac:dyDescent="0.2">
      <c r="A98" s="161" t="s">
        <v>66</v>
      </c>
      <c r="B98" s="9" t="s">
        <v>110</v>
      </c>
      <c r="C98" s="961">
        <v>56500000</v>
      </c>
      <c r="D98" s="971">
        <v>49000000</v>
      </c>
      <c r="E98" s="87">
        <v>37424380</v>
      </c>
      <c r="F98" s="1167"/>
    </row>
    <row r="99" spans="1:6" ht="12" customHeight="1" x14ac:dyDescent="0.2">
      <c r="A99" s="161" t="s">
        <v>74</v>
      </c>
      <c r="B99" s="11" t="s">
        <v>111</v>
      </c>
      <c r="C99" s="961">
        <v>198934698</v>
      </c>
      <c r="D99" s="961">
        <v>258553877</v>
      </c>
      <c r="E99" s="143">
        <f>SUM(E100:E110)</f>
        <v>213190522</v>
      </c>
      <c r="F99" s="1167"/>
    </row>
    <row r="100" spans="1:6" ht="12" customHeight="1" x14ac:dyDescent="0.2">
      <c r="A100" s="161" t="s">
        <v>67</v>
      </c>
      <c r="B100" s="6" t="s">
        <v>366</v>
      </c>
      <c r="C100" s="961">
        <v>140000</v>
      </c>
      <c r="D100" s="971">
        <v>17242997</v>
      </c>
      <c r="E100" s="87">
        <v>17102997</v>
      </c>
      <c r="F100" s="1167"/>
    </row>
    <row r="101" spans="1:6" ht="12" customHeight="1" x14ac:dyDescent="0.2">
      <c r="A101" s="161" t="s">
        <v>68</v>
      </c>
      <c r="B101" s="47" t="s">
        <v>314</v>
      </c>
      <c r="C101" s="961">
        <v>24566831</v>
      </c>
      <c r="D101" s="971">
        <v>24566831</v>
      </c>
      <c r="E101" s="1011">
        <v>24566831</v>
      </c>
      <c r="F101" s="1167"/>
    </row>
    <row r="102" spans="1:6" ht="12" customHeight="1" x14ac:dyDescent="0.2">
      <c r="A102" s="161" t="s">
        <v>75</v>
      </c>
      <c r="B102" s="47" t="s">
        <v>240</v>
      </c>
      <c r="C102" s="961"/>
      <c r="D102" s="971"/>
      <c r="E102" s="87"/>
      <c r="F102" s="1167"/>
    </row>
    <row r="103" spans="1:6" ht="12" customHeight="1" x14ac:dyDescent="0.2">
      <c r="A103" s="161" t="s">
        <v>76</v>
      </c>
      <c r="B103" s="48" t="s">
        <v>241</v>
      </c>
      <c r="C103" s="961"/>
      <c r="D103" s="971"/>
      <c r="E103" s="87"/>
      <c r="F103" s="1167"/>
    </row>
    <row r="104" spans="1:6" ht="12" customHeight="1" x14ac:dyDescent="0.2">
      <c r="A104" s="161" t="s">
        <v>77</v>
      </c>
      <c r="B104" s="48" t="s">
        <v>242</v>
      </c>
      <c r="C104" s="961"/>
      <c r="D104" s="971"/>
      <c r="E104" s="87"/>
      <c r="F104" s="1167"/>
    </row>
    <row r="105" spans="1:6" ht="12" customHeight="1" x14ac:dyDescent="0.2">
      <c r="A105" s="161" t="s">
        <v>78</v>
      </c>
      <c r="B105" s="47" t="s">
        <v>243</v>
      </c>
      <c r="C105" s="961">
        <v>636000</v>
      </c>
      <c r="D105" s="971">
        <v>636000</v>
      </c>
      <c r="E105" s="87">
        <v>566000</v>
      </c>
      <c r="F105" s="1167"/>
    </row>
    <row r="106" spans="1:6" ht="12" customHeight="1" x14ac:dyDescent="0.2">
      <c r="A106" s="161" t="s">
        <v>80</v>
      </c>
      <c r="B106" s="47" t="s">
        <v>244</v>
      </c>
      <c r="C106" s="961"/>
      <c r="D106" s="971"/>
      <c r="E106" s="87"/>
      <c r="F106" s="1167"/>
    </row>
    <row r="107" spans="1:6" ht="12" customHeight="1" x14ac:dyDescent="0.2">
      <c r="A107" s="161" t="s">
        <v>112</v>
      </c>
      <c r="B107" s="48" t="s">
        <v>245</v>
      </c>
      <c r="C107" s="1016"/>
      <c r="D107" s="971"/>
      <c r="E107" s="87"/>
      <c r="F107" s="1167"/>
    </row>
    <row r="108" spans="1:6" ht="12" customHeight="1" x14ac:dyDescent="0.2">
      <c r="A108" s="161" t="s">
        <v>238</v>
      </c>
      <c r="B108" s="49" t="s">
        <v>246</v>
      </c>
      <c r="C108" s="961"/>
      <c r="D108" s="971"/>
      <c r="E108" s="87"/>
      <c r="F108" s="1167"/>
    </row>
    <row r="109" spans="1:6" ht="12" customHeight="1" x14ac:dyDescent="0.2">
      <c r="A109" s="169" t="s">
        <v>239</v>
      </c>
      <c r="B109" s="49" t="s">
        <v>247</v>
      </c>
      <c r="C109" s="961"/>
      <c r="D109" s="971"/>
      <c r="E109" s="87"/>
      <c r="F109" s="1167"/>
    </row>
    <row r="110" spans="1:6" ht="12" customHeight="1" x14ac:dyDescent="0.2">
      <c r="A110" s="161" t="s">
        <v>312</v>
      </c>
      <c r="B110" s="48" t="s">
        <v>248</v>
      </c>
      <c r="C110" s="1016">
        <v>173591867</v>
      </c>
      <c r="D110" s="970">
        <v>216108049</v>
      </c>
      <c r="E110" s="85">
        <v>170954694</v>
      </c>
      <c r="F110" s="1167"/>
    </row>
    <row r="111" spans="1:6" ht="12" customHeight="1" x14ac:dyDescent="0.2">
      <c r="A111" s="161" t="s">
        <v>313</v>
      </c>
      <c r="B111" s="9" t="s">
        <v>36</v>
      </c>
      <c r="C111" s="1016">
        <v>116379151</v>
      </c>
      <c r="D111" s="1008">
        <v>81217123</v>
      </c>
      <c r="E111" s="141">
        <f>SUM(E112:E113)</f>
        <v>0</v>
      </c>
      <c r="F111" s="1167"/>
    </row>
    <row r="112" spans="1:6" ht="12" customHeight="1" x14ac:dyDescent="0.2">
      <c r="A112" s="162" t="s">
        <v>316</v>
      </c>
      <c r="B112" s="6" t="s">
        <v>367</v>
      </c>
      <c r="C112" s="961">
        <v>10000000</v>
      </c>
      <c r="D112" s="971">
        <v>373295</v>
      </c>
      <c r="E112" s="87"/>
      <c r="F112" s="1167"/>
    </row>
    <row r="113" spans="1:6" ht="12" customHeight="1" thickBot="1" x14ac:dyDescent="0.25">
      <c r="A113" s="170" t="s">
        <v>317</v>
      </c>
      <c r="B113" s="50" t="s">
        <v>368</v>
      </c>
      <c r="C113" s="967">
        <v>106379151</v>
      </c>
      <c r="D113" s="979">
        <v>80843828</v>
      </c>
      <c r="E113" s="189"/>
      <c r="F113" s="1167"/>
    </row>
    <row r="114" spans="1:6" ht="12" customHeight="1" thickBot="1" x14ac:dyDescent="0.25">
      <c r="A114" s="17" t="s">
        <v>7</v>
      </c>
      <c r="B114" s="15" t="s">
        <v>249</v>
      </c>
      <c r="C114" s="140">
        <f>+C115+C117+C119</f>
        <v>899252759</v>
      </c>
      <c r="D114" s="203">
        <f>+D115+D117+D119</f>
        <v>2816504853</v>
      </c>
      <c r="E114" s="84">
        <f>+E115+E117+E119</f>
        <v>489215907</v>
      </c>
      <c r="F114" s="1167"/>
    </row>
    <row r="115" spans="1:6" ht="12" customHeight="1" x14ac:dyDescent="0.2">
      <c r="A115" s="160" t="s">
        <v>69</v>
      </c>
      <c r="B115" s="6" t="s">
        <v>130</v>
      </c>
      <c r="C115" s="1015">
        <v>535995745</v>
      </c>
      <c r="D115" s="969">
        <v>874960217</v>
      </c>
      <c r="E115" s="86">
        <v>196713750</v>
      </c>
      <c r="F115" s="1167"/>
    </row>
    <row r="116" spans="1:6" ht="12" customHeight="1" x14ac:dyDescent="0.2">
      <c r="A116" s="160" t="s">
        <v>70</v>
      </c>
      <c r="B116" s="10" t="s">
        <v>253</v>
      </c>
      <c r="C116" s="1015">
        <v>401925076</v>
      </c>
      <c r="D116" s="969">
        <v>259141516</v>
      </c>
      <c r="E116" s="86"/>
      <c r="F116" s="1167"/>
    </row>
    <row r="117" spans="1:6" ht="12" customHeight="1" x14ac:dyDescent="0.2">
      <c r="A117" s="160" t="s">
        <v>71</v>
      </c>
      <c r="B117" s="10" t="s">
        <v>113</v>
      </c>
      <c r="C117" s="1016">
        <v>357345208</v>
      </c>
      <c r="D117" s="970">
        <v>1935632830</v>
      </c>
      <c r="E117" s="85">
        <v>289690346</v>
      </c>
      <c r="F117" s="1167"/>
    </row>
    <row r="118" spans="1:6" ht="12" customHeight="1" x14ac:dyDescent="0.2">
      <c r="A118" s="160" t="s">
        <v>72</v>
      </c>
      <c r="B118" s="10" t="s">
        <v>254</v>
      </c>
      <c r="C118" s="1016">
        <v>290689778</v>
      </c>
      <c r="D118" s="970">
        <v>390701940</v>
      </c>
      <c r="E118" s="85"/>
      <c r="F118" s="1167"/>
    </row>
    <row r="119" spans="1:6" ht="12" customHeight="1" x14ac:dyDescent="0.2">
      <c r="A119" s="160" t="s">
        <v>73</v>
      </c>
      <c r="B119" s="93" t="s">
        <v>132</v>
      </c>
      <c r="C119" s="1016">
        <v>5911806</v>
      </c>
      <c r="D119" s="1008">
        <v>5911806</v>
      </c>
      <c r="E119" s="141">
        <f t="shared" ref="E119" si="2">SUM(E120:E127)</f>
        <v>2811811</v>
      </c>
      <c r="F119" s="1167"/>
    </row>
    <row r="120" spans="1:6" ht="12" customHeight="1" x14ac:dyDescent="0.2">
      <c r="A120" s="160" t="s">
        <v>79</v>
      </c>
      <c r="B120" s="92" t="s">
        <v>304</v>
      </c>
      <c r="C120" s="1016"/>
      <c r="D120" s="970"/>
      <c r="E120" s="85"/>
      <c r="F120" s="1167"/>
    </row>
    <row r="121" spans="1:6" ht="12" customHeight="1" x14ac:dyDescent="0.2">
      <c r="A121" s="160" t="s">
        <v>81</v>
      </c>
      <c r="B121" s="148" t="s">
        <v>259</v>
      </c>
      <c r="C121" s="1016"/>
      <c r="D121" s="970"/>
      <c r="E121" s="85"/>
      <c r="F121" s="1167"/>
    </row>
    <row r="122" spans="1:6" ht="12" customHeight="1" x14ac:dyDescent="0.2">
      <c r="A122" s="160" t="s">
        <v>114</v>
      </c>
      <c r="B122" s="48" t="s">
        <v>242</v>
      </c>
      <c r="C122" s="1016"/>
      <c r="D122" s="970"/>
      <c r="E122" s="85"/>
      <c r="F122" s="1167"/>
    </row>
    <row r="123" spans="1:6" ht="12" customHeight="1" x14ac:dyDescent="0.2">
      <c r="A123" s="160" t="s">
        <v>115</v>
      </c>
      <c r="B123" s="48" t="s">
        <v>258</v>
      </c>
      <c r="C123" s="1016"/>
      <c r="D123" s="970"/>
      <c r="E123" s="85"/>
      <c r="F123" s="1167"/>
    </row>
    <row r="124" spans="1:6" ht="12" customHeight="1" x14ac:dyDescent="0.2">
      <c r="A124" s="160" t="s">
        <v>116</v>
      </c>
      <c r="B124" s="48" t="s">
        <v>257</v>
      </c>
      <c r="C124" s="1016"/>
      <c r="D124" s="970"/>
      <c r="E124" s="85"/>
      <c r="F124" s="1167"/>
    </row>
    <row r="125" spans="1:6" ht="12" customHeight="1" x14ac:dyDescent="0.2">
      <c r="A125" s="160" t="s">
        <v>250</v>
      </c>
      <c r="B125" s="48" t="s">
        <v>245</v>
      </c>
      <c r="C125" s="1016"/>
      <c r="D125" s="970"/>
      <c r="E125" s="85"/>
      <c r="F125" s="1167"/>
    </row>
    <row r="126" spans="1:6" ht="12" customHeight="1" x14ac:dyDescent="0.2">
      <c r="A126" s="160" t="s">
        <v>251</v>
      </c>
      <c r="B126" s="48" t="s">
        <v>256</v>
      </c>
      <c r="C126" s="1016"/>
      <c r="D126" s="970"/>
      <c r="E126" s="85"/>
      <c r="F126" s="1167"/>
    </row>
    <row r="127" spans="1:6" ht="12" customHeight="1" thickBot="1" x14ac:dyDescent="0.25">
      <c r="A127" s="169" t="s">
        <v>252</v>
      </c>
      <c r="B127" s="48" t="s">
        <v>255</v>
      </c>
      <c r="C127" s="961">
        <v>5911806</v>
      </c>
      <c r="D127" s="971">
        <v>5911806</v>
      </c>
      <c r="E127" s="87">
        <v>2811811</v>
      </c>
      <c r="F127" s="1167"/>
    </row>
    <row r="128" spans="1:6" ht="12" customHeight="1" thickBot="1" x14ac:dyDescent="0.25">
      <c r="A128" s="17" t="s">
        <v>8</v>
      </c>
      <c r="B128" s="43" t="s">
        <v>320</v>
      </c>
      <c r="C128" s="140">
        <f>+C94+C114</f>
        <v>1735944272</v>
      </c>
      <c r="D128" s="203">
        <f>+D94+D114</f>
        <v>3894771928</v>
      </c>
      <c r="E128" s="84">
        <f>+E94+E114</f>
        <v>1132964923</v>
      </c>
      <c r="F128" s="1167"/>
    </row>
    <row r="129" spans="1:11" ht="12" customHeight="1" thickBot="1" x14ac:dyDescent="0.25">
      <c r="A129" s="17" t="s">
        <v>9</v>
      </c>
      <c r="B129" s="43" t="s">
        <v>321</v>
      </c>
      <c r="C129" s="140">
        <f>+C130+C131+C132</f>
        <v>874993747</v>
      </c>
      <c r="D129" s="203">
        <f>+D130+D131+D132</f>
        <v>1028491534</v>
      </c>
      <c r="E129" s="84">
        <f>+E130+E131+E132</f>
        <v>1028491534</v>
      </c>
      <c r="F129" s="1167"/>
    </row>
    <row r="130" spans="1:11" s="40" customFormat="1" ht="12" customHeight="1" x14ac:dyDescent="0.2">
      <c r="A130" s="160" t="s">
        <v>161</v>
      </c>
      <c r="B130" s="7" t="s">
        <v>371</v>
      </c>
      <c r="C130" s="1016">
        <v>24993747</v>
      </c>
      <c r="D130" s="970">
        <v>24993747</v>
      </c>
      <c r="E130" s="85">
        <v>24993747</v>
      </c>
      <c r="F130" s="1167"/>
    </row>
    <row r="131" spans="1:11" ht="12" customHeight="1" x14ac:dyDescent="0.2">
      <c r="A131" s="160" t="s">
        <v>162</v>
      </c>
      <c r="B131" s="7" t="s">
        <v>329</v>
      </c>
      <c r="C131" s="1016">
        <v>850000000</v>
      </c>
      <c r="D131" s="970">
        <v>1003497787</v>
      </c>
      <c r="E131" s="85">
        <v>1003497787</v>
      </c>
      <c r="F131" s="1167"/>
    </row>
    <row r="132" spans="1:11" ht="12" customHeight="1" thickBot="1" x14ac:dyDescent="0.25">
      <c r="A132" s="169" t="s">
        <v>163</v>
      </c>
      <c r="B132" s="5" t="s">
        <v>370</v>
      </c>
      <c r="C132" s="141"/>
      <c r="D132" s="205"/>
      <c r="E132" s="85"/>
      <c r="F132" s="1167"/>
    </row>
    <row r="133" spans="1:11" ht="12" customHeight="1" thickBot="1" x14ac:dyDescent="0.25">
      <c r="A133" s="17" t="s">
        <v>10</v>
      </c>
      <c r="B133" s="43" t="s">
        <v>322</v>
      </c>
      <c r="C133" s="140">
        <f>+C134+C135+C136+C137+C138+C139</f>
        <v>0</v>
      </c>
      <c r="D133" s="203">
        <f>+D134+D135+D136+D137+D138+D139</f>
        <v>0</v>
      </c>
      <c r="E133" s="84">
        <f>+E134+E135+E136+E137+E138+E139</f>
        <v>0</v>
      </c>
      <c r="F133" s="1167"/>
    </row>
    <row r="134" spans="1:11" ht="12" customHeight="1" x14ac:dyDescent="0.2">
      <c r="A134" s="160" t="s">
        <v>56</v>
      </c>
      <c r="B134" s="7" t="s">
        <v>331</v>
      </c>
      <c r="C134" s="141"/>
      <c r="D134" s="205"/>
      <c r="E134" s="85"/>
      <c r="F134" s="1167"/>
    </row>
    <row r="135" spans="1:11" ht="12" customHeight="1" x14ac:dyDescent="0.2">
      <c r="A135" s="160" t="s">
        <v>57</v>
      </c>
      <c r="B135" s="7" t="s">
        <v>323</v>
      </c>
      <c r="C135" s="141"/>
      <c r="D135" s="205"/>
      <c r="E135" s="85"/>
      <c r="F135" s="1167"/>
    </row>
    <row r="136" spans="1:11" ht="12" customHeight="1" x14ac:dyDescent="0.2">
      <c r="A136" s="160" t="s">
        <v>58</v>
      </c>
      <c r="B136" s="7" t="s">
        <v>324</v>
      </c>
      <c r="C136" s="141"/>
      <c r="D136" s="205"/>
      <c r="E136" s="85"/>
      <c r="F136" s="1167"/>
    </row>
    <row r="137" spans="1:11" ht="12" customHeight="1" x14ac:dyDescent="0.2">
      <c r="A137" s="160" t="s">
        <v>101</v>
      </c>
      <c r="B137" s="7" t="s">
        <v>369</v>
      </c>
      <c r="C137" s="141"/>
      <c r="D137" s="205"/>
      <c r="E137" s="85"/>
      <c r="F137" s="1167"/>
    </row>
    <row r="138" spans="1:11" ht="12" customHeight="1" x14ac:dyDescent="0.2">
      <c r="A138" s="160" t="s">
        <v>102</v>
      </c>
      <c r="B138" s="7" t="s">
        <v>326</v>
      </c>
      <c r="C138" s="141"/>
      <c r="D138" s="205"/>
      <c r="E138" s="85"/>
      <c r="F138" s="1167"/>
    </row>
    <row r="139" spans="1:11" s="40" customFormat="1" ht="12" customHeight="1" thickBot="1" x14ac:dyDescent="0.25">
      <c r="A139" s="169" t="s">
        <v>103</v>
      </c>
      <c r="B139" s="5" t="s">
        <v>327</v>
      </c>
      <c r="C139" s="141"/>
      <c r="D139" s="205"/>
      <c r="E139" s="85"/>
      <c r="F139" s="1167"/>
    </row>
    <row r="140" spans="1:11" ht="12" customHeight="1" thickBot="1" x14ac:dyDescent="0.25">
      <c r="A140" s="17" t="s">
        <v>11</v>
      </c>
      <c r="B140" s="43" t="s">
        <v>383</v>
      </c>
      <c r="C140" s="146">
        <f>+C141+C142+C144+C145+C143</f>
        <v>1653013301</v>
      </c>
      <c r="D140" s="207">
        <f>+D141+D142+D144+D145+D143</f>
        <v>1619479861</v>
      </c>
      <c r="E140" s="172">
        <f>+E141+E142+E144+E145+E143</f>
        <v>1571796427</v>
      </c>
      <c r="F140" s="1167"/>
      <c r="K140" s="77"/>
    </row>
    <row r="141" spans="1:11" ht="15.75" x14ac:dyDescent="0.2">
      <c r="A141" s="160" t="s">
        <v>59</v>
      </c>
      <c r="B141" s="7" t="s">
        <v>260</v>
      </c>
      <c r="C141" s="141"/>
      <c r="D141" s="205"/>
      <c r="E141" s="85"/>
      <c r="F141" s="1167"/>
    </row>
    <row r="142" spans="1:11" ht="12" customHeight="1" x14ac:dyDescent="0.2">
      <c r="A142" s="160" t="s">
        <v>60</v>
      </c>
      <c r="B142" s="7" t="s">
        <v>261</v>
      </c>
      <c r="C142" s="1016">
        <v>48966750</v>
      </c>
      <c r="D142" s="970">
        <v>48966750</v>
      </c>
      <c r="E142" s="85">
        <v>48966750</v>
      </c>
      <c r="F142" s="1167"/>
    </row>
    <row r="143" spans="1:11" ht="12" customHeight="1" x14ac:dyDescent="0.2">
      <c r="A143" s="160" t="s">
        <v>178</v>
      </c>
      <c r="B143" s="7" t="s">
        <v>382</v>
      </c>
      <c r="C143" s="141">
        <v>1604046551</v>
      </c>
      <c r="D143" s="205">
        <v>1570513111</v>
      </c>
      <c r="E143" s="85">
        <v>1522829677</v>
      </c>
      <c r="F143" s="1167"/>
    </row>
    <row r="144" spans="1:11" s="40" customFormat="1" ht="12" customHeight="1" x14ac:dyDescent="0.2">
      <c r="A144" s="160" t="s">
        <v>179</v>
      </c>
      <c r="B144" s="7" t="s">
        <v>336</v>
      </c>
      <c r="C144" s="141"/>
      <c r="D144" s="205"/>
      <c r="E144" s="85"/>
      <c r="F144" s="1167"/>
    </row>
    <row r="145" spans="1:6" s="40" customFormat="1" ht="12" customHeight="1" thickBot="1" x14ac:dyDescent="0.25">
      <c r="A145" s="169" t="s">
        <v>180</v>
      </c>
      <c r="B145" s="5" t="s">
        <v>275</v>
      </c>
      <c r="C145" s="141"/>
      <c r="D145" s="205"/>
      <c r="E145" s="85"/>
      <c r="F145" s="1167"/>
    </row>
    <row r="146" spans="1:6" s="40" customFormat="1" ht="12" customHeight="1" thickBot="1" x14ac:dyDescent="0.25">
      <c r="A146" s="17" t="s">
        <v>12</v>
      </c>
      <c r="B146" s="43" t="s">
        <v>337</v>
      </c>
      <c r="C146" s="196">
        <f>+C147+C148+C149+C150+C151</f>
        <v>0</v>
      </c>
      <c r="D146" s="208">
        <f>+D147+D148+D149+D150+D151</f>
        <v>0</v>
      </c>
      <c r="E146" s="191">
        <f>+E147+E148+E149+E150+E151</f>
        <v>0</v>
      </c>
      <c r="F146" s="1167"/>
    </row>
    <row r="147" spans="1:6" s="40" customFormat="1" ht="12" customHeight="1" x14ac:dyDescent="0.2">
      <c r="A147" s="160" t="s">
        <v>61</v>
      </c>
      <c r="B147" s="7" t="s">
        <v>332</v>
      </c>
      <c r="C147" s="141"/>
      <c r="D147" s="205"/>
      <c r="E147" s="85"/>
      <c r="F147" s="1167"/>
    </row>
    <row r="148" spans="1:6" s="40" customFormat="1" ht="12" customHeight="1" x14ac:dyDescent="0.2">
      <c r="A148" s="160" t="s">
        <v>62</v>
      </c>
      <c r="B148" s="7" t="s">
        <v>339</v>
      </c>
      <c r="C148" s="141"/>
      <c r="D148" s="205"/>
      <c r="E148" s="85"/>
      <c r="F148" s="1167"/>
    </row>
    <row r="149" spans="1:6" s="40" customFormat="1" ht="12" customHeight="1" x14ac:dyDescent="0.2">
      <c r="A149" s="160" t="s">
        <v>190</v>
      </c>
      <c r="B149" s="7" t="s">
        <v>334</v>
      </c>
      <c r="C149" s="141"/>
      <c r="D149" s="205"/>
      <c r="E149" s="85"/>
      <c r="F149" s="1167"/>
    </row>
    <row r="150" spans="1:6" s="40" customFormat="1" ht="12" customHeight="1" x14ac:dyDescent="0.2">
      <c r="A150" s="160" t="s">
        <v>191</v>
      </c>
      <c r="B150" s="7" t="s">
        <v>372</v>
      </c>
      <c r="C150" s="141"/>
      <c r="D150" s="205"/>
      <c r="E150" s="85"/>
      <c r="F150" s="1167"/>
    </row>
    <row r="151" spans="1:6" ht="12.75" customHeight="1" thickBot="1" x14ac:dyDescent="0.25">
      <c r="A151" s="169" t="s">
        <v>338</v>
      </c>
      <c r="B151" s="5" t="s">
        <v>341</v>
      </c>
      <c r="C151" s="143"/>
      <c r="D151" s="206"/>
      <c r="E151" s="87"/>
      <c r="F151" s="1167"/>
    </row>
    <row r="152" spans="1:6" ht="12.75" customHeight="1" thickBot="1" x14ac:dyDescent="0.25">
      <c r="A152" s="186" t="s">
        <v>13</v>
      </c>
      <c r="B152" s="43" t="s">
        <v>342</v>
      </c>
      <c r="C152" s="196"/>
      <c r="D152" s="208"/>
      <c r="E152" s="191"/>
      <c r="F152" s="1167"/>
    </row>
    <row r="153" spans="1:6" ht="12.75" customHeight="1" thickBot="1" x14ac:dyDescent="0.25">
      <c r="A153" s="186" t="s">
        <v>14</v>
      </c>
      <c r="B153" s="43" t="s">
        <v>343</v>
      </c>
      <c r="C153" s="196"/>
      <c r="D153" s="208"/>
      <c r="E153" s="191"/>
      <c r="F153" s="1167"/>
    </row>
    <row r="154" spans="1:6" ht="12" customHeight="1" thickBot="1" x14ac:dyDescent="0.25">
      <c r="A154" s="17" t="s">
        <v>15</v>
      </c>
      <c r="B154" s="43" t="s">
        <v>345</v>
      </c>
      <c r="C154" s="198">
        <f>+C129+C133+C140+C146+C152+C153</f>
        <v>2528007048</v>
      </c>
      <c r="D154" s="210">
        <f>+D129+D133+D140+D146+D152+D153</f>
        <v>2647971395</v>
      </c>
      <c r="E154" s="193">
        <f>+E129+E133+E140+E146+E152+E153</f>
        <v>2600287961</v>
      </c>
      <c r="F154" s="1167"/>
    </row>
    <row r="155" spans="1:6" ht="15.2" customHeight="1" thickBot="1" x14ac:dyDescent="0.25">
      <c r="A155" s="171" t="s">
        <v>16</v>
      </c>
      <c r="B155" s="130" t="s">
        <v>344</v>
      </c>
      <c r="C155" s="198">
        <f>+C128+C154</f>
        <v>4263951320</v>
      </c>
      <c r="D155" s="210">
        <f>+D128+D154</f>
        <v>6542743323</v>
      </c>
      <c r="E155" s="193">
        <f>+E128+E154</f>
        <v>3733252884</v>
      </c>
      <c r="F155" s="1167"/>
    </row>
    <row r="156" spans="1:6" ht="24.75" customHeight="1" thickBot="1" x14ac:dyDescent="0.25">
      <c r="A156" s="133"/>
      <c r="B156" s="134"/>
      <c r="C156" s="493">
        <f>C91-C155</f>
        <v>0</v>
      </c>
      <c r="D156" s="493">
        <f>D91-D155</f>
        <v>0</v>
      </c>
      <c r="E156" s="135"/>
    </row>
    <row r="157" spans="1:6" ht="15.2" customHeight="1" thickBot="1" x14ac:dyDescent="0.25">
      <c r="A157" s="1359" t="s">
        <v>437</v>
      </c>
      <c r="B157" s="1360"/>
      <c r="C157" s="236">
        <v>5</v>
      </c>
      <c r="D157" s="236">
        <v>5.42</v>
      </c>
      <c r="E157" s="235">
        <v>5</v>
      </c>
    </row>
    <row r="158" spans="1:6" ht="14.45" customHeight="1" thickBot="1" x14ac:dyDescent="0.25">
      <c r="A158" s="1361" t="s">
        <v>881</v>
      </c>
      <c r="B158" s="1362"/>
      <c r="C158" s="236">
        <v>0</v>
      </c>
      <c r="D158" s="236">
        <v>0</v>
      </c>
      <c r="E158" s="235">
        <v>0</v>
      </c>
    </row>
  </sheetData>
  <sheetProtection formatCells="0"/>
  <mergeCells count="7">
    <mergeCell ref="B1:E1"/>
    <mergeCell ref="A157:B157"/>
    <mergeCell ref="A158:B158"/>
    <mergeCell ref="A7:E7"/>
    <mergeCell ref="B2:D2"/>
    <mergeCell ref="B3:D3"/>
    <mergeCell ref="A93:E93"/>
  </mergeCells>
  <phoneticPr fontId="0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3" orientation="portrait" verticalDpi="300" r:id="rId1"/>
  <headerFooter alignWithMargins="0"/>
  <rowBreaks count="2" manualBreakCount="2">
    <brk id="70" max="16383" man="1"/>
    <brk id="9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F60"/>
  <sheetViews>
    <sheetView zoomScale="120" zoomScaleNormal="120" workbookViewId="0">
      <selection activeCell="D16" sqref="D16"/>
    </sheetView>
  </sheetViews>
  <sheetFormatPr defaultRowHeight="12.75" x14ac:dyDescent="0.2"/>
  <cols>
    <col min="1" max="1" width="13" style="75" customWidth="1"/>
    <col min="2" max="2" width="59" style="76" customWidth="1"/>
    <col min="3" max="5" width="15.83203125" style="76" customWidth="1"/>
    <col min="6" max="6" width="14.6640625" style="76" bestFit="1" customWidth="1"/>
    <col min="7" max="16384" width="9.33203125" style="76"/>
  </cols>
  <sheetData>
    <row r="1" spans="1:6" s="66" customFormat="1" ht="16.5" thickBot="1" x14ac:dyDescent="0.3">
      <c r="A1" s="260"/>
      <c r="B1" s="1357" t="str">
        <f>CONCATENATE("8. melléklet ",Z_ALAPADATOK!A7," ",Z_ALAPADATOK!B7," ",Z_ALAPADATOK!C7," ",Z_ALAPADATOK!D7," ",Z_ALAPADATOK!E7," ",Z_ALAPADATOK!F7," ",Z_ALAPADATOK!G7," ",Z_ALAPADATOK!H7)</f>
        <v>8. melléklet a 12 / 2022. ( V.30. ) önkormányzati rendelethez</v>
      </c>
      <c r="C1" s="1358"/>
      <c r="D1" s="1358"/>
      <c r="E1" s="1358"/>
    </row>
    <row r="2" spans="1:6" s="178" customFormat="1" ht="24.75" thickBot="1" x14ac:dyDescent="0.25">
      <c r="A2" s="261" t="s">
        <v>412</v>
      </c>
      <c r="B2" s="1367" t="s">
        <v>1067</v>
      </c>
      <c r="C2" s="1368"/>
      <c r="D2" s="1369"/>
      <c r="E2" s="262" t="s">
        <v>42</v>
      </c>
    </row>
    <row r="3" spans="1:6" s="178" customFormat="1" ht="24.75" thickBot="1" x14ac:dyDescent="0.25">
      <c r="A3" s="261" t="s">
        <v>122</v>
      </c>
      <c r="B3" s="1367" t="s">
        <v>278</v>
      </c>
      <c r="C3" s="1368"/>
      <c r="D3" s="1369"/>
      <c r="E3" s="262" t="s">
        <v>38</v>
      </c>
    </row>
    <row r="4" spans="1:6" s="179" customFormat="1" ht="15.95" customHeight="1" thickBot="1" x14ac:dyDescent="0.3">
      <c r="A4" s="263"/>
      <c r="B4" s="263"/>
      <c r="C4" s="264"/>
      <c r="D4" s="265"/>
      <c r="E4" s="264" t="str">
        <f>Z_6.1.sz.mell!E4</f>
        <v xml:space="preserve"> Forintban!</v>
      </c>
    </row>
    <row r="5" spans="1:6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6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6" s="180" customFormat="1" ht="15.95" customHeight="1" thickBot="1" x14ac:dyDescent="0.25">
      <c r="A7" s="1363" t="s">
        <v>39</v>
      </c>
      <c r="B7" s="1364"/>
      <c r="C7" s="1364"/>
      <c r="D7" s="1364"/>
      <c r="E7" s="1365"/>
    </row>
    <row r="8" spans="1:6" s="129" customFormat="1" ht="12" customHeight="1" thickBot="1" x14ac:dyDescent="0.25">
      <c r="A8" s="58" t="s">
        <v>6</v>
      </c>
      <c r="B8" s="67" t="s">
        <v>373</v>
      </c>
      <c r="C8" s="99">
        <f>SUM(C9:C19)</f>
        <v>10088614</v>
      </c>
      <c r="D8" s="99">
        <f>SUM(D9:D19)</f>
        <v>46202448</v>
      </c>
      <c r="E8" s="124">
        <f>SUM(E9:E19)</f>
        <v>25499868</v>
      </c>
      <c r="F8" s="1168"/>
    </row>
    <row r="9" spans="1:6" s="129" customFormat="1" ht="12" customHeight="1" x14ac:dyDescent="0.2">
      <c r="A9" s="173" t="s">
        <v>63</v>
      </c>
      <c r="B9" s="8" t="s">
        <v>167</v>
      </c>
      <c r="C9" s="974"/>
      <c r="D9" s="219"/>
      <c r="E9" s="238"/>
      <c r="F9" s="1168"/>
    </row>
    <row r="10" spans="1:6" s="129" customFormat="1" ht="12" customHeight="1" x14ac:dyDescent="0.2">
      <c r="A10" s="174" t="s">
        <v>64</v>
      </c>
      <c r="B10" s="6" t="s">
        <v>168</v>
      </c>
      <c r="C10" s="957">
        <v>5076402</v>
      </c>
      <c r="D10" s="957">
        <v>14876999</v>
      </c>
      <c r="E10" s="212">
        <v>9226758</v>
      </c>
      <c r="F10" s="1168"/>
    </row>
    <row r="11" spans="1:6" s="129" customFormat="1" ht="12" customHeight="1" x14ac:dyDescent="0.2">
      <c r="A11" s="174" t="s">
        <v>65</v>
      </c>
      <c r="B11" s="6" t="s">
        <v>169</v>
      </c>
      <c r="C11" s="957">
        <v>2788648</v>
      </c>
      <c r="D11" s="957">
        <v>4008975</v>
      </c>
      <c r="E11" s="212">
        <v>6149176</v>
      </c>
      <c r="F11" s="1168"/>
    </row>
    <row r="12" spans="1:6" s="129" customFormat="1" ht="12" customHeight="1" x14ac:dyDescent="0.2">
      <c r="A12" s="174" t="s">
        <v>66</v>
      </c>
      <c r="B12" s="6" t="s">
        <v>170</v>
      </c>
      <c r="C12" s="957"/>
      <c r="D12" s="957"/>
      <c r="E12" s="212"/>
      <c r="F12" s="1168"/>
    </row>
    <row r="13" spans="1:6" s="129" customFormat="1" ht="12" customHeight="1" x14ac:dyDescent="0.2">
      <c r="A13" s="174" t="s">
        <v>84</v>
      </c>
      <c r="B13" s="6" t="s">
        <v>171</v>
      </c>
      <c r="C13" s="957"/>
      <c r="D13" s="957">
        <v>17732140</v>
      </c>
      <c r="E13" s="212">
        <v>5648105</v>
      </c>
      <c r="F13" s="1168"/>
    </row>
    <row r="14" spans="1:6" s="129" customFormat="1" ht="12" customHeight="1" x14ac:dyDescent="0.2">
      <c r="A14" s="174" t="s">
        <v>67</v>
      </c>
      <c r="B14" s="6" t="s">
        <v>279</v>
      </c>
      <c r="C14" s="957">
        <v>2123564</v>
      </c>
      <c r="D14" s="957">
        <v>6911242</v>
      </c>
      <c r="E14" s="212">
        <v>3528780</v>
      </c>
      <c r="F14" s="1168"/>
    </row>
    <row r="15" spans="1:6" s="129" customFormat="1" ht="12" customHeight="1" x14ac:dyDescent="0.2">
      <c r="A15" s="174" t="s">
        <v>68</v>
      </c>
      <c r="B15" s="5" t="s">
        <v>280</v>
      </c>
      <c r="C15" s="957"/>
      <c r="D15" s="957">
        <v>2573092</v>
      </c>
      <c r="E15" s="212">
        <v>887000</v>
      </c>
      <c r="F15" s="1168"/>
    </row>
    <row r="16" spans="1:6" s="129" customFormat="1" ht="12" customHeight="1" x14ac:dyDescent="0.2">
      <c r="A16" s="174" t="s">
        <v>75</v>
      </c>
      <c r="B16" s="6" t="s">
        <v>174</v>
      </c>
      <c r="C16" s="973"/>
      <c r="D16" s="973"/>
      <c r="E16" s="216">
        <v>1</v>
      </c>
      <c r="F16" s="1168"/>
    </row>
    <row r="17" spans="1:6" s="181" customFormat="1" ht="12" customHeight="1" x14ac:dyDescent="0.2">
      <c r="A17" s="174" t="s">
        <v>76</v>
      </c>
      <c r="B17" s="6" t="s">
        <v>175</v>
      </c>
      <c r="C17" s="957"/>
      <c r="D17" s="957"/>
      <c r="E17" s="212"/>
      <c r="F17" s="1168"/>
    </row>
    <row r="18" spans="1:6" s="181" customFormat="1" ht="12" customHeight="1" x14ac:dyDescent="0.2">
      <c r="A18" s="174" t="s">
        <v>77</v>
      </c>
      <c r="B18" s="6" t="s">
        <v>310</v>
      </c>
      <c r="C18" s="958"/>
      <c r="D18" s="958"/>
      <c r="E18" s="213"/>
      <c r="F18" s="1168"/>
    </row>
    <row r="19" spans="1:6" s="181" customFormat="1" ht="12" customHeight="1" thickBot="1" x14ac:dyDescent="0.25">
      <c r="A19" s="174" t="s">
        <v>78</v>
      </c>
      <c r="B19" s="5" t="s">
        <v>176</v>
      </c>
      <c r="C19" s="958">
        <v>100000</v>
      </c>
      <c r="D19" s="958">
        <v>100000</v>
      </c>
      <c r="E19" s="213">
        <v>60048</v>
      </c>
      <c r="F19" s="1168"/>
    </row>
    <row r="20" spans="1:6" s="129" customFormat="1" ht="12" customHeight="1" thickBot="1" x14ac:dyDescent="0.25">
      <c r="A20" s="58" t="s">
        <v>7</v>
      </c>
      <c r="B20" s="67" t="s">
        <v>281</v>
      </c>
      <c r="C20" s="99">
        <f>SUM(C22:C23)</f>
        <v>0</v>
      </c>
      <c r="D20" s="99">
        <f>SUM(D22:D23)</f>
        <v>0</v>
      </c>
      <c r="E20" s="124">
        <f>SUM(E22:E23)</f>
        <v>2995140</v>
      </c>
      <c r="F20" s="1168"/>
    </row>
    <row r="21" spans="1:6" s="129" customFormat="1" ht="12" customHeight="1" x14ac:dyDescent="0.2">
      <c r="A21" s="174" t="s">
        <v>69</v>
      </c>
      <c r="B21" s="840" t="s">
        <v>152</v>
      </c>
      <c r="C21" s="1169"/>
      <c r="D21" s="1169"/>
      <c r="E21" s="1170"/>
      <c r="F21" s="1168"/>
    </row>
    <row r="22" spans="1:6" s="181" customFormat="1" ht="12" customHeight="1" x14ac:dyDescent="0.2">
      <c r="A22" s="174" t="s">
        <v>70</v>
      </c>
      <c r="B22" s="6" t="s">
        <v>282</v>
      </c>
      <c r="C22" s="97"/>
      <c r="D22" s="97"/>
      <c r="E22" s="212"/>
      <c r="F22" s="1168"/>
    </row>
    <row r="23" spans="1:6" s="181" customFormat="1" ht="12" customHeight="1" x14ac:dyDescent="0.2">
      <c r="A23" s="174" t="s">
        <v>71</v>
      </c>
      <c r="B23" s="6" t="s">
        <v>283</v>
      </c>
      <c r="C23" s="97"/>
      <c r="D23" s="97"/>
      <c r="E23" s="212">
        <v>2995140</v>
      </c>
      <c r="F23" s="1168"/>
    </row>
    <row r="24" spans="1:6" s="181" customFormat="1" ht="12" customHeight="1" thickBot="1" x14ac:dyDescent="0.25">
      <c r="A24" s="174" t="s">
        <v>72</v>
      </c>
      <c r="B24" s="6" t="s">
        <v>374</v>
      </c>
      <c r="C24" s="97"/>
      <c r="D24" s="97"/>
      <c r="E24" s="212"/>
      <c r="F24" s="1168"/>
    </row>
    <row r="25" spans="1:6" s="181" customFormat="1" ht="12" customHeight="1" thickBot="1" x14ac:dyDescent="0.25">
      <c r="A25" s="62" t="s">
        <v>8</v>
      </c>
      <c r="B25" s="43" t="s">
        <v>100</v>
      </c>
      <c r="C25" s="240"/>
      <c r="D25" s="240"/>
      <c r="E25" s="123"/>
      <c r="F25" s="1168"/>
    </row>
    <row r="26" spans="1:6" s="181" customFormat="1" ht="12" customHeight="1" thickBot="1" x14ac:dyDescent="0.25">
      <c r="A26" s="62" t="s">
        <v>9</v>
      </c>
      <c r="B26" s="43" t="s">
        <v>375</v>
      </c>
      <c r="C26" s="1068">
        <f t="shared" ref="C26:D26" si="0">C27+C28</f>
        <v>0</v>
      </c>
      <c r="D26" s="1068">
        <f t="shared" si="0"/>
        <v>0</v>
      </c>
      <c r="E26" s="1059">
        <f>E27+E28</f>
        <v>0</v>
      </c>
      <c r="F26" s="1168"/>
    </row>
    <row r="27" spans="1:6" s="181" customFormat="1" ht="12" customHeight="1" x14ac:dyDescent="0.2">
      <c r="A27" s="175" t="s">
        <v>161</v>
      </c>
      <c r="B27" s="176" t="s">
        <v>282</v>
      </c>
      <c r="C27" s="97"/>
      <c r="D27" s="97"/>
      <c r="E27" s="212"/>
      <c r="F27" s="1168"/>
    </row>
    <row r="28" spans="1:6" s="181" customFormat="1" ht="12" customHeight="1" x14ac:dyDescent="0.2">
      <c r="A28" s="175" t="s">
        <v>162</v>
      </c>
      <c r="B28" s="177" t="s">
        <v>285</v>
      </c>
      <c r="C28" s="97"/>
      <c r="D28" s="97"/>
      <c r="E28" s="212"/>
      <c r="F28" s="1168"/>
    </row>
    <row r="29" spans="1:6" s="181" customFormat="1" ht="12" customHeight="1" thickBot="1" x14ac:dyDescent="0.25">
      <c r="A29" s="175" t="s">
        <v>163</v>
      </c>
      <c r="B29" s="46" t="s">
        <v>376</v>
      </c>
      <c r="C29" s="35"/>
      <c r="D29" s="35"/>
      <c r="E29" s="239"/>
      <c r="F29" s="1168"/>
    </row>
    <row r="30" spans="1:6" s="181" customFormat="1" ht="12" customHeight="1" thickBot="1" x14ac:dyDescent="0.25">
      <c r="A30" s="62" t="s">
        <v>10</v>
      </c>
      <c r="B30" s="43" t="s">
        <v>286</v>
      </c>
      <c r="C30" s="99">
        <f>+C31+C32+C33</f>
        <v>0</v>
      </c>
      <c r="D30" s="99">
        <f>+D31+D32+D33</f>
        <v>0</v>
      </c>
      <c r="E30" s="124">
        <f>+E31+E32+E33</f>
        <v>22787</v>
      </c>
      <c r="F30" s="1168"/>
    </row>
    <row r="31" spans="1:6" s="181" customFormat="1" ht="12" customHeight="1" x14ac:dyDescent="0.2">
      <c r="A31" s="175" t="s">
        <v>56</v>
      </c>
      <c r="B31" s="176" t="s">
        <v>181</v>
      </c>
      <c r="C31" s="218"/>
      <c r="D31" s="218"/>
      <c r="E31" s="217"/>
      <c r="F31" s="1168"/>
    </row>
    <row r="32" spans="1:6" s="181" customFormat="1" ht="12" customHeight="1" x14ac:dyDescent="0.2">
      <c r="A32" s="175" t="s">
        <v>57</v>
      </c>
      <c r="B32" s="177" t="s">
        <v>182</v>
      </c>
      <c r="C32" s="100"/>
      <c r="D32" s="100"/>
      <c r="E32" s="214"/>
      <c r="F32" s="1168"/>
    </row>
    <row r="33" spans="1:6" s="181" customFormat="1" ht="12" customHeight="1" thickBot="1" x14ac:dyDescent="0.25">
      <c r="A33" s="174" t="s">
        <v>58</v>
      </c>
      <c r="B33" s="46" t="s">
        <v>183</v>
      </c>
      <c r="C33" s="35"/>
      <c r="D33" s="35"/>
      <c r="E33" s="239">
        <v>22787</v>
      </c>
      <c r="F33" s="1168"/>
    </row>
    <row r="34" spans="1:6" s="129" customFormat="1" ht="12" customHeight="1" thickBot="1" x14ac:dyDescent="0.25">
      <c r="A34" s="62" t="s">
        <v>11</v>
      </c>
      <c r="B34" s="43" t="s">
        <v>265</v>
      </c>
      <c r="C34" s="240"/>
      <c r="D34" s="240"/>
      <c r="E34" s="123"/>
      <c r="F34" s="1168"/>
    </row>
    <row r="35" spans="1:6" s="129" customFormat="1" ht="12" customHeight="1" thickBot="1" x14ac:dyDescent="0.25">
      <c r="A35" s="62" t="s">
        <v>12</v>
      </c>
      <c r="B35" s="43" t="s">
        <v>287</v>
      </c>
      <c r="C35" s="240"/>
      <c r="D35" s="240"/>
      <c r="E35" s="123"/>
      <c r="F35" s="1168"/>
    </row>
    <row r="36" spans="1:6" s="129" customFormat="1" ht="12" customHeight="1" thickBot="1" x14ac:dyDescent="0.25">
      <c r="A36" s="58" t="s">
        <v>13</v>
      </c>
      <c r="B36" s="43" t="s">
        <v>288</v>
      </c>
      <c r="C36" s="99">
        <f>+C8+C20+C25+C26+C30+C34+C35</f>
        <v>10088614</v>
      </c>
      <c r="D36" s="99">
        <f>+D8+D20+D25+D26+D30+D34+D35</f>
        <v>46202448</v>
      </c>
      <c r="E36" s="124">
        <f>+E8+E20+E25+E26+E30+E34+E35</f>
        <v>28517795</v>
      </c>
      <c r="F36" s="1168"/>
    </row>
    <row r="37" spans="1:6" s="129" customFormat="1" ht="12" customHeight="1" thickBot="1" x14ac:dyDescent="0.25">
      <c r="A37" s="68" t="s">
        <v>14</v>
      </c>
      <c r="B37" s="43" t="s">
        <v>289</v>
      </c>
      <c r="C37" s="99">
        <f>+C38+C39+C40</f>
        <v>229110175</v>
      </c>
      <c r="D37" s="99">
        <f>+D38+D39+D40</f>
        <v>255580192</v>
      </c>
      <c r="E37" s="124">
        <f>+E38+E39+E40</f>
        <v>238523601</v>
      </c>
      <c r="F37" s="1168"/>
    </row>
    <row r="38" spans="1:6" s="129" customFormat="1" ht="12" customHeight="1" x14ac:dyDescent="0.2">
      <c r="A38" s="175" t="s">
        <v>290</v>
      </c>
      <c r="B38" s="176" t="s">
        <v>137</v>
      </c>
      <c r="C38" s="218">
        <v>216699</v>
      </c>
      <c r="D38" s="218">
        <v>216699</v>
      </c>
      <c r="E38" s="217">
        <v>216699</v>
      </c>
      <c r="F38" s="1168"/>
    </row>
    <row r="39" spans="1:6" s="129" customFormat="1" ht="12" customHeight="1" x14ac:dyDescent="0.2">
      <c r="A39" s="175" t="s">
        <v>291</v>
      </c>
      <c r="B39" s="177" t="s">
        <v>0</v>
      </c>
      <c r="C39" s="100"/>
      <c r="D39" s="100"/>
      <c r="E39" s="214"/>
      <c r="F39" s="1168"/>
    </row>
    <row r="40" spans="1:6" s="181" customFormat="1" ht="12" customHeight="1" thickBot="1" x14ac:dyDescent="0.25">
      <c r="A40" s="174" t="s">
        <v>292</v>
      </c>
      <c r="B40" s="46" t="s">
        <v>293</v>
      </c>
      <c r="C40" s="35">
        <v>228893476</v>
      </c>
      <c r="D40" s="35">
        <v>255363493</v>
      </c>
      <c r="E40" s="239">
        <v>238306902</v>
      </c>
      <c r="F40" s="1168"/>
    </row>
    <row r="41" spans="1:6" s="181" customFormat="1" ht="15.2" customHeight="1" thickBot="1" x14ac:dyDescent="0.25">
      <c r="A41" s="68" t="s">
        <v>15</v>
      </c>
      <c r="B41" s="69" t="s">
        <v>294</v>
      </c>
      <c r="C41" s="241">
        <f>+C36+C37</f>
        <v>239198789</v>
      </c>
      <c r="D41" s="241">
        <f>+D36+D37</f>
        <v>301782640</v>
      </c>
      <c r="E41" s="127">
        <f>+E36+E37</f>
        <v>267041396</v>
      </c>
      <c r="F41" s="1168"/>
    </row>
    <row r="42" spans="1:6" s="181" customFormat="1" ht="15.2" customHeight="1" x14ac:dyDescent="0.2">
      <c r="A42" s="70"/>
      <c r="B42" s="71"/>
      <c r="C42" s="125"/>
    </row>
    <row r="43" spans="1:6" ht="13.5" thickBot="1" x14ac:dyDescent="0.25">
      <c r="A43" s="72"/>
      <c r="B43" s="73"/>
      <c r="C43" s="126"/>
    </row>
    <row r="44" spans="1:6" s="180" customFormat="1" ht="16.5" customHeight="1" thickBot="1" x14ac:dyDescent="0.25">
      <c r="A44" s="1363" t="s">
        <v>40</v>
      </c>
      <c r="B44" s="1364"/>
      <c r="C44" s="1364"/>
      <c r="D44" s="1364"/>
      <c r="E44" s="1365"/>
    </row>
    <row r="45" spans="1:6" s="182" customFormat="1" ht="12" customHeight="1" thickBot="1" x14ac:dyDescent="0.25">
      <c r="A45" s="62" t="s">
        <v>6</v>
      </c>
      <c r="B45" s="43" t="s">
        <v>295</v>
      </c>
      <c r="C45" s="99">
        <f>SUM(C46:C50)</f>
        <v>236433590</v>
      </c>
      <c r="D45" s="99">
        <f>SUM(D46:D50)</f>
        <v>299017441</v>
      </c>
      <c r="E45" s="124">
        <f>SUM(E46:E50)</f>
        <v>265520340</v>
      </c>
      <c r="F45" s="1168"/>
    </row>
    <row r="46" spans="1:6" ht="12" customHeight="1" x14ac:dyDescent="0.2">
      <c r="A46" s="174" t="s">
        <v>63</v>
      </c>
      <c r="B46" s="7" t="s">
        <v>35</v>
      </c>
      <c r="C46" s="1018">
        <v>166097510</v>
      </c>
      <c r="D46" s="1018">
        <v>172947011</v>
      </c>
      <c r="E46" s="217">
        <v>159983356</v>
      </c>
      <c r="F46" s="1168"/>
    </row>
    <row r="47" spans="1:6" ht="12" customHeight="1" x14ac:dyDescent="0.2">
      <c r="A47" s="174" t="s">
        <v>64</v>
      </c>
      <c r="B47" s="6" t="s">
        <v>109</v>
      </c>
      <c r="C47" s="1009">
        <v>29077925</v>
      </c>
      <c r="D47" s="1009">
        <v>30113915</v>
      </c>
      <c r="E47" s="215">
        <v>26113513</v>
      </c>
      <c r="F47" s="1168"/>
    </row>
    <row r="48" spans="1:6" ht="12" customHeight="1" x14ac:dyDescent="0.2">
      <c r="A48" s="174" t="s">
        <v>65</v>
      </c>
      <c r="B48" s="6" t="s">
        <v>83</v>
      </c>
      <c r="C48" s="1009">
        <v>41258155</v>
      </c>
      <c r="D48" s="1009">
        <v>95956515</v>
      </c>
      <c r="E48" s="215">
        <v>79423471</v>
      </c>
      <c r="F48" s="1168"/>
    </row>
    <row r="49" spans="1:6" ht="12" customHeight="1" x14ac:dyDescent="0.2">
      <c r="A49" s="174" t="s">
        <v>66</v>
      </c>
      <c r="B49" s="6" t="s">
        <v>110</v>
      </c>
      <c r="C49" s="34"/>
      <c r="D49" s="34"/>
      <c r="E49" s="215"/>
      <c r="F49" s="1168"/>
    </row>
    <row r="50" spans="1:6" ht="12" customHeight="1" thickBot="1" x14ac:dyDescent="0.25">
      <c r="A50" s="174" t="s">
        <v>84</v>
      </c>
      <c r="B50" s="6" t="s">
        <v>111</v>
      </c>
      <c r="C50" s="34"/>
      <c r="D50" s="34"/>
      <c r="E50" s="215"/>
      <c r="F50" s="1168"/>
    </row>
    <row r="51" spans="1:6" ht="12" customHeight="1" thickBot="1" x14ac:dyDescent="0.25">
      <c r="A51" s="62" t="s">
        <v>7</v>
      </c>
      <c r="B51" s="43" t="s">
        <v>296</v>
      </c>
      <c r="C51" s="99">
        <f>SUM(C52:C54)</f>
        <v>2765199</v>
      </c>
      <c r="D51" s="99">
        <f>SUM(D52:D54)</f>
        <v>2765199</v>
      </c>
      <c r="E51" s="124">
        <f>SUM(E52:E54)</f>
        <v>920962</v>
      </c>
      <c r="F51" s="1168"/>
    </row>
    <row r="52" spans="1:6" s="182" customFormat="1" ht="12" customHeight="1" x14ac:dyDescent="0.2">
      <c r="A52" s="174" t="s">
        <v>69</v>
      </c>
      <c r="B52" s="7" t="s">
        <v>130</v>
      </c>
      <c r="C52" s="218">
        <v>2765199</v>
      </c>
      <c r="D52" s="1018">
        <v>2765199</v>
      </c>
      <c r="E52" s="217">
        <v>920962</v>
      </c>
      <c r="F52" s="1168"/>
    </row>
    <row r="53" spans="1:6" ht="12" customHeight="1" x14ac:dyDescent="0.2">
      <c r="A53" s="174" t="s">
        <v>70</v>
      </c>
      <c r="B53" s="6" t="s">
        <v>113</v>
      </c>
      <c r="C53" s="34"/>
      <c r="D53" s="34"/>
      <c r="E53" s="215"/>
      <c r="F53" s="1168"/>
    </row>
    <row r="54" spans="1:6" ht="12" customHeight="1" x14ac:dyDescent="0.2">
      <c r="A54" s="174" t="s">
        <v>71</v>
      </c>
      <c r="B54" s="6" t="s">
        <v>41</v>
      </c>
      <c r="C54" s="34"/>
      <c r="D54" s="34"/>
      <c r="E54" s="215"/>
      <c r="F54" s="1168"/>
    </row>
    <row r="55" spans="1:6" ht="12" customHeight="1" thickBot="1" x14ac:dyDescent="0.25">
      <c r="A55" s="174" t="s">
        <v>72</v>
      </c>
      <c r="B55" s="6" t="s">
        <v>377</v>
      </c>
      <c r="C55" s="34"/>
      <c r="D55" s="34"/>
      <c r="E55" s="215"/>
      <c r="F55" s="1168"/>
    </row>
    <row r="56" spans="1:6" ht="12" customHeight="1" thickBot="1" x14ac:dyDescent="0.25">
      <c r="A56" s="62" t="s">
        <v>8</v>
      </c>
      <c r="B56" s="43" t="s">
        <v>2</v>
      </c>
      <c r="C56" s="240"/>
      <c r="D56" s="240"/>
      <c r="E56" s="123"/>
      <c r="F56" s="1168"/>
    </row>
    <row r="57" spans="1:6" ht="15.2" customHeight="1" thickBot="1" x14ac:dyDescent="0.25">
      <c r="A57" s="62" t="s">
        <v>9</v>
      </c>
      <c r="B57" s="74" t="s">
        <v>381</v>
      </c>
      <c r="C57" s="241">
        <f>+C45+C51+C56</f>
        <v>239198789</v>
      </c>
      <c r="D57" s="241">
        <f>+D45+D51+D56</f>
        <v>301782640</v>
      </c>
      <c r="E57" s="127">
        <f>+E45+E51+E56</f>
        <v>266441302</v>
      </c>
      <c r="F57" s="1168"/>
    </row>
    <row r="58" spans="1:6" ht="13.5" thickBot="1" x14ac:dyDescent="0.25">
      <c r="C58" s="493">
        <f>C41-C57</f>
        <v>0</v>
      </c>
      <c r="D58" s="493">
        <f>D41-D57</f>
        <v>0</v>
      </c>
      <c r="E58" s="128"/>
    </row>
    <row r="59" spans="1:6" ht="15.2" customHeight="1" thickBot="1" x14ac:dyDescent="0.25">
      <c r="A59" s="1361" t="s">
        <v>437</v>
      </c>
      <c r="B59" s="1362"/>
      <c r="C59" s="236">
        <v>48.38</v>
      </c>
      <c r="D59" s="236">
        <v>50.71</v>
      </c>
      <c r="E59" s="235">
        <v>46</v>
      </c>
    </row>
    <row r="60" spans="1:6" ht="14.45" customHeight="1" thickBot="1" x14ac:dyDescent="0.25">
      <c r="A60" s="1361" t="s">
        <v>438</v>
      </c>
      <c r="B60" s="1362"/>
      <c r="C60" s="236"/>
      <c r="D60" s="236"/>
      <c r="E60" s="235"/>
    </row>
  </sheetData>
  <sheetProtection formatCells="0"/>
  <mergeCells count="7">
    <mergeCell ref="B1:E1"/>
    <mergeCell ref="A59:B59"/>
    <mergeCell ref="A60:B60"/>
    <mergeCell ref="B2:D2"/>
    <mergeCell ref="B3:D3"/>
    <mergeCell ref="A7:E7"/>
    <mergeCell ref="A44:E44"/>
  </mergeCells>
  <phoneticPr fontId="35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/>
  <dimension ref="A1:F61"/>
  <sheetViews>
    <sheetView zoomScale="120" zoomScaleNormal="120" workbookViewId="0">
      <selection activeCell="D15" sqref="D15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6" width="17.1640625" style="76" customWidth="1"/>
    <col min="7" max="16384" width="9.33203125" style="76"/>
  </cols>
  <sheetData>
    <row r="1" spans="1:6" s="66" customFormat="1" ht="16.5" thickBot="1" x14ac:dyDescent="0.3">
      <c r="A1" s="260"/>
      <c r="B1" s="1357" t="str">
        <f>CONCATENATE("9. melléklet ",Z_ALAPADATOK!A7," ",Z_ALAPADATOK!B7," ",Z_ALAPADATOK!C7," ",Z_ALAPADATOK!D7," ",Z_ALAPADATOK!E7," ",Z_ALAPADATOK!F7," ",Z_ALAPADATOK!G7," ",Z_ALAPADATOK!H7)</f>
        <v>9. melléklet a 12 / 2022. ( V.30. ) önkormányzati rendelethez</v>
      </c>
      <c r="C1" s="1358"/>
      <c r="D1" s="1358"/>
      <c r="E1" s="1358"/>
    </row>
    <row r="2" spans="1:6" s="178" customFormat="1" ht="25.5" customHeight="1" thickBot="1" x14ac:dyDescent="0.25">
      <c r="A2" s="261" t="s">
        <v>412</v>
      </c>
      <c r="B2" s="1367" t="str">
        <f>CONCATENATE(Z_ALAPADATOK!B13)</f>
        <v>Városi Kincstár</v>
      </c>
      <c r="C2" s="1368"/>
      <c r="D2" s="1369"/>
      <c r="E2" s="262" t="s">
        <v>43</v>
      </c>
    </row>
    <row r="3" spans="1:6" s="178" customFormat="1" ht="24.75" thickBot="1" x14ac:dyDescent="0.25">
      <c r="A3" s="261" t="s">
        <v>122</v>
      </c>
      <c r="B3" s="1367" t="s">
        <v>278</v>
      </c>
      <c r="C3" s="1368"/>
      <c r="D3" s="1369"/>
      <c r="E3" s="262" t="s">
        <v>38</v>
      </c>
    </row>
    <row r="4" spans="1:6" s="179" customFormat="1" ht="15.95" customHeight="1" thickBot="1" x14ac:dyDescent="0.3">
      <c r="A4" s="263"/>
      <c r="B4" s="263"/>
      <c r="C4" s="264"/>
      <c r="D4" s="265"/>
      <c r="E4" s="264" t="str">
        <f>Z_6.1.sz.mell!E4</f>
        <v xml:space="preserve"> Forintban!</v>
      </c>
    </row>
    <row r="5" spans="1:6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6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6" s="180" customFormat="1" ht="15.95" customHeight="1" thickBot="1" x14ac:dyDescent="0.25">
      <c r="A7" s="1363" t="s">
        <v>39</v>
      </c>
      <c r="B7" s="1364"/>
      <c r="C7" s="1364"/>
      <c r="D7" s="1364"/>
      <c r="E7" s="1365"/>
    </row>
    <row r="8" spans="1:6" s="129" customFormat="1" ht="12" customHeight="1" thickBot="1" x14ac:dyDescent="0.25">
      <c r="A8" s="58" t="s">
        <v>6</v>
      </c>
      <c r="B8" s="67" t="s">
        <v>373</v>
      </c>
      <c r="C8" s="1068">
        <f t="shared" ref="C8:D8" si="0">SUM(C9:C19)</f>
        <v>66375872</v>
      </c>
      <c r="D8" s="1068">
        <f t="shared" si="0"/>
        <v>26965328</v>
      </c>
      <c r="E8" s="1059">
        <f>SUM(E9:E19)</f>
        <v>22078963</v>
      </c>
      <c r="F8" s="1168"/>
    </row>
    <row r="9" spans="1:6" s="129" customFormat="1" ht="12" customHeight="1" x14ac:dyDescent="0.2">
      <c r="A9" s="173" t="s">
        <v>63</v>
      </c>
      <c r="B9" s="8" t="s">
        <v>167</v>
      </c>
      <c r="C9" s="721"/>
      <c r="D9" s="721"/>
      <c r="E9" s="722"/>
      <c r="F9" s="1168"/>
    </row>
    <row r="10" spans="1:6" s="129" customFormat="1" ht="12" customHeight="1" x14ac:dyDescent="0.2">
      <c r="A10" s="174" t="s">
        <v>64</v>
      </c>
      <c r="B10" s="6" t="s">
        <v>168</v>
      </c>
      <c r="C10" s="957">
        <v>25515233</v>
      </c>
      <c r="D10" s="999">
        <v>9738497</v>
      </c>
      <c r="E10" s="714">
        <v>5489757</v>
      </c>
      <c r="F10" s="1168"/>
    </row>
    <row r="11" spans="1:6" s="129" customFormat="1" ht="12" customHeight="1" x14ac:dyDescent="0.2">
      <c r="A11" s="174" t="s">
        <v>65</v>
      </c>
      <c r="B11" s="6" t="s">
        <v>169</v>
      </c>
      <c r="C11" s="957">
        <v>1270000</v>
      </c>
      <c r="D11" s="999">
        <v>656880</v>
      </c>
      <c r="E11" s="714">
        <v>560014</v>
      </c>
      <c r="F11" s="1168"/>
    </row>
    <row r="12" spans="1:6" s="129" customFormat="1" ht="12" customHeight="1" x14ac:dyDescent="0.2">
      <c r="A12" s="174" t="s">
        <v>66</v>
      </c>
      <c r="B12" s="6" t="s">
        <v>170</v>
      </c>
      <c r="C12" s="957"/>
      <c r="D12" s="999"/>
      <c r="E12" s="714"/>
      <c r="F12" s="1168"/>
    </row>
    <row r="13" spans="1:6" s="129" customFormat="1" ht="12" customHeight="1" x14ac:dyDescent="0.2">
      <c r="A13" s="174" t="s">
        <v>84</v>
      </c>
      <c r="B13" s="6" t="s">
        <v>171</v>
      </c>
      <c r="C13" s="957">
        <v>23682732</v>
      </c>
      <c r="D13" s="999">
        <v>5950592</v>
      </c>
      <c r="E13" s="714">
        <v>5550592</v>
      </c>
      <c r="F13" s="1168"/>
    </row>
    <row r="14" spans="1:6" s="129" customFormat="1" ht="12" customHeight="1" x14ac:dyDescent="0.2">
      <c r="A14" s="174" t="s">
        <v>67</v>
      </c>
      <c r="B14" s="6" t="s">
        <v>279</v>
      </c>
      <c r="C14" s="957">
        <v>6457815</v>
      </c>
      <c r="D14" s="999">
        <v>1682359</v>
      </c>
      <c r="E14" s="714">
        <v>1574359</v>
      </c>
      <c r="F14" s="1168"/>
    </row>
    <row r="15" spans="1:6" s="129" customFormat="1" ht="12" customHeight="1" x14ac:dyDescent="0.2">
      <c r="A15" s="174" t="s">
        <v>68</v>
      </c>
      <c r="B15" s="5" t="s">
        <v>280</v>
      </c>
      <c r="C15" s="957">
        <v>9450092</v>
      </c>
      <c r="D15" s="999">
        <v>6877000</v>
      </c>
      <c r="E15" s="714">
        <v>6877000</v>
      </c>
      <c r="F15" s="1168"/>
    </row>
    <row r="16" spans="1:6" s="129" customFormat="1" ht="12" customHeight="1" x14ac:dyDescent="0.2">
      <c r="A16" s="174" t="s">
        <v>75</v>
      </c>
      <c r="B16" s="6" t="s">
        <v>174</v>
      </c>
      <c r="C16" s="719"/>
      <c r="D16" s="1004"/>
      <c r="E16" s="717"/>
      <c r="F16" s="1168"/>
    </row>
    <row r="17" spans="1:6" s="181" customFormat="1" ht="12" customHeight="1" x14ac:dyDescent="0.2">
      <c r="A17" s="174" t="s">
        <v>76</v>
      </c>
      <c r="B17" s="6" t="s">
        <v>175</v>
      </c>
      <c r="C17" s="705"/>
      <c r="D17" s="999"/>
      <c r="E17" s="714"/>
      <c r="F17" s="1168"/>
    </row>
    <row r="18" spans="1:6" s="181" customFormat="1" ht="12" customHeight="1" x14ac:dyDescent="0.2">
      <c r="A18" s="174" t="s">
        <v>77</v>
      </c>
      <c r="B18" s="6" t="s">
        <v>310</v>
      </c>
      <c r="C18" s="706"/>
      <c r="D18" s="1000"/>
      <c r="E18" s="715"/>
      <c r="F18" s="1168"/>
    </row>
    <row r="19" spans="1:6" s="181" customFormat="1" ht="12" customHeight="1" thickBot="1" x14ac:dyDescent="0.25">
      <c r="A19" s="174" t="s">
        <v>78</v>
      </c>
      <c r="B19" s="5" t="s">
        <v>176</v>
      </c>
      <c r="C19" s="706"/>
      <c r="D19" s="1000">
        <v>2060000</v>
      </c>
      <c r="E19" s="715">
        <v>2027241</v>
      </c>
      <c r="F19" s="1168"/>
    </row>
    <row r="20" spans="1:6" s="129" customFormat="1" ht="12" customHeight="1" thickBot="1" x14ac:dyDescent="0.25">
      <c r="A20" s="58" t="s">
        <v>7</v>
      </c>
      <c r="B20" s="67" t="s">
        <v>281</v>
      </c>
      <c r="C20" s="1068">
        <f t="shared" ref="C20:D20" si="1">SUM(C21:C23)</f>
        <v>0</v>
      </c>
      <c r="D20" s="1068">
        <f t="shared" si="1"/>
        <v>0</v>
      </c>
      <c r="E20" s="1059">
        <f>SUM(E21:E23)</f>
        <v>0</v>
      </c>
      <c r="F20" s="1168"/>
    </row>
    <row r="21" spans="1:6" s="181" customFormat="1" ht="12" customHeight="1" x14ac:dyDescent="0.2">
      <c r="A21" s="174" t="s">
        <v>69</v>
      </c>
      <c r="B21" s="7" t="s">
        <v>152</v>
      </c>
      <c r="C21" s="705"/>
      <c r="D21" s="711"/>
      <c r="E21" s="714"/>
      <c r="F21" s="1168"/>
    </row>
    <row r="22" spans="1:6" s="181" customFormat="1" ht="12" customHeight="1" x14ac:dyDescent="0.2">
      <c r="A22" s="174" t="s">
        <v>70</v>
      </c>
      <c r="B22" s="6" t="s">
        <v>282</v>
      </c>
      <c r="C22" s="705"/>
      <c r="D22" s="711"/>
      <c r="E22" s="714"/>
      <c r="F22" s="1168"/>
    </row>
    <row r="23" spans="1:6" s="181" customFormat="1" ht="12" customHeight="1" x14ac:dyDescent="0.2">
      <c r="A23" s="174" t="s">
        <v>71</v>
      </c>
      <c r="B23" s="6" t="s">
        <v>283</v>
      </c>
      <c r="C23" s="705"/>
      <c r="D23" s="711"/>
      <c r="E23" s="714"/>
      <c r="F23" s="1168"/>
    </row>
    <row r="24" spans="1:6" s="181" customFormat="1" ht="12" customHeight="1" thickBot="1" x14ac:dyDescent="0.25">
      <c r="A24" s="174" t="s">
        <v>72</v>
      </c>
      <c r="B24" s="6" t="s">
        <v>378</v>
      </c>
      <c r="C24" s="705"/>
      <c r="D24" s="711"/>
      <c r="E24" s="714"/>
      <c r="F24" s="1168"/>
    </row>
    <row r="25" spans="1:6" s="181" customFormat="1" ht="12" customHeight="1" thickBot="1" x14ac:dyDescent="0.25">
      <c r="A25" s="62" t="s">
        <v>8</v>
      </c>
      <c r="B25" s="43" t="s">
        <v>100</v>
      </c>
      <c r="C25" s="724"/>
      <c r="D25" s="725"/>
      <c r="E25" s="709"/>
      <c r="F25" s="1168"/>
    </row>
    <row r="26" spans="1:6" s="181" customFormat="1" ht="12" customHeight="1" thickBot="1" x14ac:dyDescent="0.25">
      <c r="A26" s="62" t="s">
        <v>9</v>
      </c>
      <c r="B26" s="43" t="s">
        <v>284</v>
      </c>
      <c r="C26" s="707"/>
      <c r="D26" s="712"/>
      <c r="E26" s="710"/>
      <c r="F26" s="1168"/>
    </row>
    <row r="27" spans="1:6" s="181" customFormat="1" ht="12" customHeight="1" x14ac:dyDescent="0.2">
      <c r="A27" s="175" t="s">
        <v>161</v>
      </c>
      <c r="B27" s="176" t="s">
        <v>282</v>
      </c>
      <c r="C27" s="720"/>
      <c r="D27" s="704"/>
      <c r="E27" s="718"/>
      <c r="F27" s="1168"/>
    </row>
    <row r="28" spans="1:6" s="181" customFormat="1" ht="22.5" x14ac:dyDescent="0.2">
      <c r="A28" s="175" t="s">
        <v>162</v>
      </c>
      <c r="B28" s="177" t="s">
        <v>285</v>
      </c>
      <c r="C28" s="708"/>
      <c r="D28" s="713"/>
      <c r="E28" s="716"/>
      <c r="F28" s="1168"/>
    </row>
    <row r="29" spans="1:6" s="181" customFormat="1" ht="12" customHeight="1" thickBot="1" x14ac:dyDescent="0.25">
      <c r="A29" s="174" t="s">
        <v>163</v>
      </c>
      <c r="B29" s="46" t="s">
        <v>379</v>
      </c>
      <c r="C29" s="703"/>
      <c r="D29" s="726"/>
      <c r="E29" s="723"/>
      <c r="F29" s="1168"/>
    </row>
    <row r="30" spans="1:6" s="181" customFormat="1" ht="12" customHeight="1" thickBot="1" x14ac:dyDescent="0.25">
      <c r="A30" s="62" t="s">
        <v>10</v>
      </c>
      <c r="B30" s="43" t="s">
        <v>286</v>
      </c>
      <c r="C30" s="707"/>
      <c r="D30" s="712"/>
      <c r="E30" s="710"/>
      <c r="F30" s="1168"/>
    </row>
    <row r="31" spans="1:6" s="181" customFormat="1" ht="12" customHeight="1" x14ac:dyDescent="0.2">
      <c r="A31" s="175" t="s">
        <v>56</v>
      </c>
      <c r="B31" s="176" t="s">
        <v>181</v>
      </c>
      <c r="C31" s="720"/>
      <c r="D31" s="704"/>
      <c r="E31" s="718"/>
      <c r="F31" s="1168"/>
    </row>
    <row r="32" spans="1:6" s="181" customFormat="1" ht="12" customHeight="1" x14ac:dyDescent="0.2">
      <c r="A32" s="175" t="s">
        <v>57</v>
      </c>
      <c r="B32" s="177" t="s">
        <v>182</v>
      </c>
      <c r="C32" s="708"/>
      <c r="D32" s="713"/>
      <c r="E32" s="716"/>
      <c r="F32" s="1168"/>
    </row>
    <row r="33" spans="1:6" s="181" customFormat="1" ht="12" customHeight="1" thickBot="1" x14ac:dyDescent="0.25">
      <c r="A33" s="174" t="s">
        <v>58</v>
      </c>
      <c r="B33" s="46" t="s">
        <v>183</v>
      </c>
      <c r="C33" s="703"/>
      <c r="D33" s="726"/>
      <c r="E33" s="723"/>
      <c r="F33" s="1168"/>
    </row>
    <row r="34" spans="1:6" s="129" customFormat="1" ht="12" customHeight="1" thickBot="1" x14ac:dyDescent="0.25">
      <c r="A34" s="62" t="s">
        <v>11</v>
      </c>
      <c r="B34" s="43" t="s">
        <v>265</v>
      </c>
      <c r="C34" s="724"/>
      <c r="D34" s="725"/>
      <c r="E34" s="709"/>
      <c r="F34" s="1168"/>
    </row>
    <row r="35" spans="1:6" s="129" customFormat="1" ht="12" customHeight="1" thickBot="1" x14ac:dyDescent="0.25">
      <c r="A35" s="62" t="s">
        <v>12</v>
      </c>
      <c r="B35" s="43" t="s">
        <v>287</v>
      </c>
      <c r="C35" s="724"/>
      <c r="D35" s="725"/>
      <c r="E35" s="709"/>
      <c r="F35" s="1168"/>
    </row>
    <row r="36" spans="1:6" s="129" customFormat="1" ht="12" customHeight="1" thickBot="1" x14ac:dyDescent="0.25">
      <c r="A36" s="58" t="s">
        <v>13</v>
      </c>
      <c r="B36" s="43" t="s">
        <v>380</v>
      </c>
      <c r="C36" s="1035">
        <f t="shared" ref="C36:D36" si="2">C8+C20+C25+C26+C30+C34</f>
        <v>66375872</v>
      </c>
      <c r="D36" s="1068">
        <f t="shared" si="2"/>
        <v>26965328</v>
      </c>
      <c r="E36" s="1059">
        <f>E8+E20+E25+E26+E30+E34</f>
        <v>22078963</v>
      </c>
      <c r="F36" s="1168"/>
    </row>
    <row r="37" spans="1:6" s="129" customFormat="1" ht="12" customHeight="1" thickBot="1" x14ac:dyDescent="0.25">
      <c r="A37" s="68" t="s">
        <v>14</v>
      </c>
      <c r="B37" s="43" t="s">
        <v>289</v>
      </c>
      <c r="C37" s="1035">
        <f t="shared" ref="C37:D37" si="3">SUM(C38:C40)</f>
        <v>167147522</v>
      </c>
      <c r="D37" s="1068">
        <f t="shared" si="3"/>
        <v>85596898</v>
      </c>
      <c r="E37" s="1059">
        <f>SUM(E38:E40)</f>
        <v>85596898</v>
      </c>
      <c r="F37" s="1168"/>
    </row>
    <row r="38" spans="1:6" s="129" customFormat="1" ht="12" customHeight="1" x14ac:dyDescent="0.2">
      <c r="A38" s="175" t="s">
        <v>290</v>
      </c>
      <c r="B38" s="176" t="s">
        <v>137</v>
      </c>
      <c r="C38" s="720">
        <v>913769</v>
      </c>
      <c r="D38" s="704">
        <v>913769</v>
      </c>
      <c r="E38" s="718">
        <v>913769</v>
      </c>
      <c r="F38" s="1168"/>
    </row>
    <row r="39" spans="1:6" s="129" customFormat="1" ht="12" customHeight="1" x14ac:dyDescent="0.2">
      <c r="A39" s="175" t="s">
        <v>291</v>
      </c>
      <c r="B39" s="177" t="s">
        <v>0</v>
      </c>
      <c r="C39" s="708"/>
      <c r="D39" s="713"/>
      <c r="E39" s="716"/>
      <c r="F39" s="1168"/>
    </row>
    <row r="40" spans="1:6" s="181" customFormat="1" ht="12" customHeight="1" thickBot="1" x14ac:dyDescent="0.25">
      <c r="A40" s="174" t="s">
        <v>292</v>
      </c>
      <c r="B40" s="46" t="s">
        <v>293</v>
      </c>
      <c r="C40" s="703">
        <v>166233753</v>
      </c>
      <c r="D40" s="726">
        <v>84683129</v>
      </c>
      <c r="E40" s="723">
        <v>84683129</v>
      </c>
      <c r="F40" s="1168"/>
    </row>
    <row r="41" spans="1:6" s="181" customFormat="1" ht="15.2" customHeight="1" thickBot="1" x14ac:dyDescent="0.25">
      <c r="A41" s="68" t="s">
        <v>15</v>
      </c>
      <c r="B41" s="69" t="s">
        <v>294</v>
      </c>
      <c r="C41" s="981">
        <f>C36+C37</f>
        <v>233523394</v>
      </c>
      <c r="D41" s="981">
        <f>D36+D37</f>
        <v>112562226</v>
      </c>
      <c r="E41" s="1064">
        <f>E36+E37</f>
        <v>107675861</v>
      </c>
      <c r="F41" s="1168"/>
    </row>
    <row r="42" spans="1:6" s="181" customFormat="1" ht="15.2" customHeight="1" x14ac:dyDescent="0.2">
      <c r="A42" s="70"/>
      <c r="B42" s="71"/>
      <c r="C42" s="125"/>
    </row>
    <row r="43" spans="1:6" ht="13.5" thickBot="1" x14ac:dyDescent="0.25">
      <c r="A43" s="72"/>
      <c r="B43" s="73"/>
      <c r="C43" s="126"/>
    </row>
    <row r="44" spans="1:6" s="180" customFormat="1" ht="16.5" customHeight="1" thickBot="1" x14ac:dyDescent="0.25">
      <c r="A44" s="1363" t="s">
        <v>40</v>
      </c>
      <c r="B44" s="1364"/>
      <c r="C44" s="1364"/>
      <c r="D44" s="1364"/>
      <c r="E44" s="1365"/>
    </row>
    <row r="45" spans="1:6" s="182" customFormat="1" ht="12" customHeight="1" thickBot="1" x14ac:dyDescent="0.25">
      <c r="A45" s="62" t="s">
        <v>6</v>
      </c>
      <c r="B45" s="43" t="s">
        <v>295</v>
      </c>
      <c r="C45" s="1035">
        <f t="shared" ref="C45:D45" si="4">SUM(C46:C50)</f>
        <v>233523394</v>
      </c>
      <c r="D45" s="1068">
        <f t="shared" si="4"/>
        <v>112562226</v>
      </c>
      <c r="E45" s="1059">
        <f>SUM(E46:E50)</f>
        <v>104680721</v>
      </c>
      <c r="F45" s="1168"/>
    </row>
    <row r="46" spans="1:6" ht="12" customHeight="1" x14ac:dyDescent="0.2">
      <c r="A46" s="174" t="s">
        <v>63</v>
      </c>
      <c r="B46" s="7" t="s">
        <v>35</v>
      </c>
      <c r="C46" s="1032">
        <v>71998629</v>
      </c>
      <c r="D46" s="984">
        <v>36177052</v>
      </c>
      <c r="E46" s="743">
        <v>35022663</v>
      </c>
      <c r="F46" s="1168"/>
    </row>
    <row r="47" spans="1:6" ht="12" customHeight="1" x14ac:dyDescent="0.2">
      <c r="A47" s="174" t="s">
        <v>64</v>
      </c>
      <c r="B47" s="6" t="s">
        <v>109</v>
      </c>
      <c r="C47" s="1033">
        <v>11651828</v>
      </c>
      <c r="D47" s="1036">
        <v>5856003</v>
      </c>
      <c r="E47" s="742">
        <v>5602986</v>
      </c>
      <c r="F47" s="1168"/>
    </row>
    <row r="48" spans="1:6" ht="12" customHeight="1" x14ac:dyDescent="0.2">
      <c r="A48" s="174" t="s">
        <v>65</v>
      </c>
      <c r="B48" s="6" t="s">
        <v>83</v>
      </c>
      <c r="C48" s="1033">
        <v>149872937</v>
      </c>
      <c r="D48" s="1036">
        <v>70492848</v>
      </c>
      <c r="E48" s="742">
        <v>64018749</v>
      </c>
      <c r="F48" s="1168"/>
    </row>
    <row r="49" spans="1:6" ht="12" customHeight="1" x14ac:dyDescent="0.2">
      <c r="A49" s="174" t="s">
        <v>66</v>
      </c>
      <c r="B49" s="6" t="s">
        <v>110</v>
      </c>
      <c r="C49" s="1037"/>
      <c r="D49" s="1036"/>
      <c r="E49" s="742"/>
      <c r="F49" s="1168"/>
    </row>
    <row r="50" spans="1:6" ht="12" customHeight="1" thickBot="1" x14ac:dyDescent="0.25">
      <c r="A50" s="174" t="s">
        <v>84</v>
      </c>
      <c r="B50" s="6" t="s">
        <v>111</v>
      </c>
      <c r="C50" s="1037"/>
      <c r="D50" s="1038">
        <v>36323</v>
      </c>
      <c r="E50" s="742">
        <v>36323</v>
      </c>
      <c r="F50" s="1168"/>
    </row>
    <row r="51" spans="1:6" ht="12" customHeight="1" thickBot="1" x14ac:dyDescent="0.25">
      <c r="A51" s="62" t="s">
        <v>7</v>
      </c>
      <c r="B51" s="43" t="s">
        <v>296</v>
      </c>
      <c r="C51" s="731"/>
      <c r="D51" s="738"/>
      <c r="E51" s="735">
        <f>SUM(E52:E55)</f>
        <v>0</v>
      </c>
      <c r="F51" s="1168"/>
    </row>
    <row r="52" spans="1:6" s="182" customFormat="1" ht="12" customHeight="1" x14ac:dyDescent="0.2">
      <c r="A52" s="174" t="s">
        <v>69</v>
      </c>
      <c r="B52" s="7" t="s">
        <v>130</v>
      </c>
      <c r="C52" s="744"/>
      <c r="D52" s="729"/>
      <c r="E52" s="743"/>
      <c r="F52" s="1168"/>
    </row>
    <row r="53" spans="1:6" ht="12" customHeight="1" x14ac:dyDescent="0.2">
      <c r="A53" s="174" t="s">
        <v>70</v>
      </c>
      <c r="B53" s="6" t="s">
        <v>113</v>
      </c>
      <c r="C53" s="727"/>
      <c r="D53" s="730"/>
      <c r="E53" s="742"/>
      <c r="F53" s="1168"/>
    </row>
    <row r="54" spans="1:6" ht="12" customHeight="1" x14ac:dyDescent="0.2">
      <c r="A54" s="174" t="s">
        <v>71</v>
      </c>
      <c r="B54" s="6" t="s">
        <v>41</v>
      </c>
      <c r="C54" s="727"/>
      <c r="D54" s="730"/>
      <c r="E54" s="742"/>
      <c r="F54" s="1168"/>
    </row>
    <row r="55" spans="1:6" ht="12" customHeight="1" thickBot="1" x14ac:dyDescent="0.25">
      <c r="A55" s="174" t="s">
        <v>72</v>
      </c>
      <c r="B55" s="6" t="s">
        <v>377</v>
      </c>
      <c r="C55" s="727"/>
      <c r="D55" s="730"/>
      <c r="E55" s="742"/>
      <c r="F55" s="1168"/>
    </row>
    <row r="56" spans="1:6" ht="15.2" customHeight="1" thickBot="1" x14ac:dyDescent="0.25">
      <c r="A56" s="62" t="s">
        <v>8</v>
      </c>
      <c r="B56" s="43" t="s">
        <v>2</v>
      </c>
      <c r="C56" s="748"/>
      <c r="D56" s="749"/>
      <c r="E56" s="734"/>
      <c r="F56" s="1168"/>
    </row>
    <row r="57" spans="1:6" ht="15.75" thickBot="1" x14ac:dyDescent="0.25">
      <c r="A57" s="62" t="s">
        <v>9</v>
      </c>
      <c r="B57" s="74" t="s">
        <v>381</v>
      </c>
      <c r="C57" s="981">
        <f t="shared" ref="C57:D57" si="5">C45+C51+C56</f>
        <v>233523394</v>
      </c>
      <c r="D57" s="981">
        <f t="shared" si="5"/>
        <v>112562226</v>
      </c>
      <c r="E57" s="1064">
        <f>E45+E51+E56</f>
        <v>104680721</v>
      </c>
      <c r="F57" s="1168"/>
    </row>
    <row r="58" spans="1:6" ht="15.2" customHeight="1" thickBot="1" x14ac:dyDescent="0.25">
      <c r="C58" s="493">
        <f>C41-C57</f>
        <v>0</v>
      </c>
      <c r="D58" s="493">
        <f>D41-D57</f>
        <v>0</v>
      </c>
    </row>
    <row r="59" spans="1:6" ht="14.45" customHeight="1" thickBot="1" x14ac:dyDescent="0.25">
      <c r="A59" s="1361" t="s">
        <v>437</v>
      </c>
      <c r="B59" s="1362"/>
      <c r="C59" s="751">
        <v>22.5</v>
      </c>
      <c r="D59" s="751">
        <v>20.5</v>
      </c>
      <c r="E59" s="752">
        <v>18</v>
      </c>
    </row>
    <row r="60" spans="1:6" ht="13.5" thickBot="1" x14ac:dyDescent="0.25">
      <c r="A60" s="1361" t="s">
        <v>873</v>
      </c>
      <c r="B60" s="1362"/>
      <c r="C60" s="751">
        <v>0</v>
      </c>
      <c r="D60" s="751">
        <v>0</v>
      </c>
      <c r="E60" s="752">
        <v>0</v>
      </c>
    </row>
    <row r="61" spans="1:6" ht="13.5" thickBot="1" x14ac:dyDescent="0.25">
      <c r="A61" s="1361" t="s">
        <v>438</v>
      </c>
      <c r="B61" s="1362"/>
      <c r="C61" s="746">
        <v>0</v>
      </c>
      <c r="D61" s="746">
        <v>0</v>
      </c>
      <c r="E61" s="745">
        <v>0</v>
      </c>
    </row>
  </sheetData>
  <sheetProtection formatCells="0"/>
  <mergeCells count="8">
    <mergeCell ref="B1:E1"/>
    <mergeCell ref="A59:B59"/>
    <mergeCell ref="A61:B61"/>
    <mergeCell ref="A60:B60"/>
    <mergeCell ref="B2:D2"/>
    <mergeCell ref="B3:D3"/>
    <mergeCell ref="A7:E7"/>
    <mergeCell ref="A44:E44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/>
  <dimension ref="A1:F60"/>
  <sheetViews>
    <sheetView zoomScale="120" zoomScaleNormal="120" workbookViewId="0">
      <selection activeCell="E12" sqref="E12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6" width="16" style="76" bestFit="1" customWidth="1"/>
    <col min="7" max="16384" width="9.33203125" style="76"/>
  </cols>
  <sheetData>
    <row r="1" spans="1:5" s="66" customFormat="1" ht="16.5" thickBot="1" x14ac:dyDescent="0.3">
      <c r="A1" s="260"/>
      <c r="B1" s="1357" t="str">
        <f>CONCATENATE("10. melléklet ",Z_ALAPADATOK!A7," ",Z_ALAPADATOK!B7," ",Z_ALAPADATOK!C7," ",Z_ALAPADATOK!D7," ",Z_ALAPADATOK!E7," ",Z_ALAPADATOK!F7," ",Z_ALAPADATOK!G7," ",Z_ALAPADATOK!H7)</f>
        <v>10. melléklet a 12 / 2022. ( V.30. ) önkormányzati rendelethez</v>
      </c>
      <c r="C1" s="1358"/>
      <c r="D1" s="1358"/>
      <c r="E1" s="1358"/>
    </row>
    <row r="2" spans="1:5" s="178" customFormat="1" ht="25.5" customHeight="1" thickBot="1" x14ac:dyDescent="0.25">
      <c r="A2" s="261" t="s">
        <v>412</v>
      </c>
      <c r="B2" s="1367" t="str">
        <f>CONCATENATE(Z_ALAPADATOK!B15)</f>
        <v>Egyesített Óvodai Intézmény</v>
      </c>
      <c r="C2" s="1368"/>
      <c r="D2" s="1369"/>
      <c r="E2" s="262" t="s">
        <v>305</v>
      </c>
    </row>
    <row r="3" spans="1:5" s="178" customFormat="1" ht="24.75" thickBot="1" x14ac:dyDescent="0.25">
      <c r="A3" s="261" t="s">
        <v>122</v>
      </c>
      <c r="B3" s="1367" t="s">
        <v>278</v>
      </c>
      <c r="C3" s="1368"/>
      <c r="D3" s="1369"/>
      <c r="E3" s="262" t="s">
        <v>38</v>
      </c>
    </row>
    <row r="4" spans="1:5" s="179" customFormat="1" ht="15.95" customHeight="1" thickBot="1" x14ac:dyDescent="0.3">
      <c r="A4" s="1370" t="str">
        <f>Z_6.1.sz.mell!E4</f>
        <v xml:space="preserve"> Forintban!</v>
      </c>
      <c r="B4" s="1370"/>
      <c r="C4" s="1370"/>
      <c r="D4" s="1370"/>
      <c r="E4" s="1370"/>
    </row>
    <row r="5" spans="1:5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5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5" s="180" customFormat="1" ht="15.95" customHeight="1" thickBot="1" x14ac:dyDescent="0.25">
      <c r="A7" s="1363" t="s">
        <v>39</v>
      </c>
      <c r="B7" s="1364"/>
      <c r="C7" s="1364"/>
      <c r="D7" s="1364"/>
      <c r="E7" s="1365"/>
    </row>
    <row r="8" spans="1:5" s="129" customFormat="1" ht="12" customHeight="1" thickBot="1" x14ac:dyDescent="0.25">
      <c r="A8" s="58" t="s">
        <v>6</v>
      </c>
      <c r="B8" s="67" t="s">
        <v>373</v>
      </c>
      <c r="C8" s="1046">
        <v>8197206</v>
      </c>
      <c r="D8" s="731">
        <v>8197206</v>
      </c>
      <c r="E8" s="733">
        <f>SUM(E9:E19)</f>
        <v>6930798</v>
      </c>
    </row>
    <row r="9" spans="1:5" s="129" customFormat="1" ht="12" customHeight="1" x14ac:dyDescent="0.2">
      <c r="A9" s="173" t="s">
        <v>63</v>
      </c>
      <c r="B9" s="8" t="s">
        <v>167</v>
      </c>
      <c r="C9" s="974"/>
      <c r="D9" s="1026"/>
      <c r="E9" s="1050"/>
    </row>
    <row r="10" spans="1:5" s="129" customFormat="1" ht="12" customHeight="1" x14ac:dyDescent="0.2">
      <c r="A10" s="174" t="s">
        <v>64</v>
      </c>
      <c r="B10" s="6" t="s">
        <v>168</v>
      </c>
      <c r="C10" s="957">
        <v>600000</v>
      </c>
      <c r="D10" s="1033">
        <v>600000</v>
      </c>
      <c r="E10" s="1048">
        <v>600000</v>
      </c>
    </row>
    <row r="11" spans="1:5" s="129" customFormat="1" ht="12" customHeight="1" x14ac:dyDescent="0.2">
      <c r="A11" s="174" t="s">
        <v>65</v>
      </c>
      <c r="B11" s="6" t="s">
        <v>169</v>
      </c>
      <c r="C11" s="957">
        <v>4600000</v>
      </c>
      <c r="D11" s="1033">
        <v>4600000</v>
      </c>
      <c r="E11" s="1048">
        <v>3578896</v>
      </c>
    </row>
    <row r="12" spans="1:5" s="129" customFormat="1" ht="12" customHeight="1" x14ac:dyDescent="0.2">
      <c r="A12" s="174" t="s">
        <v>66</v>
      </c>
      <c r="B12" s="6" t="s">
        <v>170</v>
      </c>
      <c r="C12" s="957"/>
      <c r="D12" s="1033"/>
      <c r="E12" s="1048"/>
    </row>
    <row r="13" spans="1:5" s="129" customFormat="1" ht="12" customHeight="1" x14ac:dyDescent="0.2">
      <c r="A13" s="174" t="s">
        <v>84</v>
      </c>
      <c r="B13" s="6" t="s">
        <v>171</v>
      </c>
      <c r="C13" s="957">
        <v>1011380</v>
      </c>
      <c r="D13" s="1033">
        <v>1011380</v>
      </c>
      <c r="E13" s="1048">
        <v>1027501</v>
      </c>
    </row>
    <row r="14" spans="1:5" s="129" customFormat="1" ht="12" customHeight="1" x14ac:dyDescent="0.2">
      <c r="A14" s="174" t="s">
        <v>67</v>
      </c>
      <c r="B14" s="6" t="s">
        <v>279</v>
      </c>
      <c r="C14" s="957">
        <v>1677073</v>
      </c>
      <c r="D14" s="1033">
        <v>1677073</v>
      </c>
      <c r="E14" s="1048">
        <v>1395883</v>
      </c>
    </row>
    <row r="15" spans="1:5" s="129" customFormat="1" ht="12" customHeight="1" x14ac:dyDescent="0.2">
      <c r="A15" s="174" t="s">
        <v>68</v>
      </c>
      <c r="B15" s="5" t="s">
        <v>280</v>
      </c>
      <c r="C15" s="957">
        <v>305753</v>
      </c>
      <c r="D15" s="1033">
        <v>305753</v>
      </c>
      <c r="E15" s="1048">
        <v>325000</v>
      </c>
    </row>
    <row r="16" spans="1:5" s="129" customFormat="1" ht="12" customHeight="1" x14ac:dyDescent="0.2">
      <c r="A16" s="174" t="s">
        <v>75</v>
      </c>
      <c r="B16" s="6" t="s">
        <v>174</v>
      </c>
      <c r="C16" s="973"/>
      <c r="D16" s="1027"/>
      <c r="E16" s="1051"/>
    </row>
    <row r="17" spans="1:6" s="181" customFormat="1" ht="12" customHeight="1" x14ac:dyDescent="0.2">
      <c r="A17" s="174" t="s">
        <v>76</v>
      </c>
      <c r="B17" s="6" t="s">
        <v>175</v>
      </c>
      <c r="C17" s="957"/>
      <c r="D17" s="1033"/>
      <c r="E17" s="1048"/>
      <c r="F17" s="129"/>
    </row>
    <row r="18" spans="1:6" s="181" customFormat="1" ht="12" customHeight="1" x14ac:dyDescent="0.2">
      <c r="A18" s="174" t="s">
        <v>77</v>
      </c>
      <c r="B18" s="6" t="s">
        <v>310</v>
      </c>
      <c r="C18" s="958"/>
      <c r="D18" s="1020"/>
      <c r="E18" s="1049"/>
      <c r="F18" s="129"/>
    </row>
    <row r="19" spans="1:6" s="181" customFormat="1" ht="12" customHeight="1" thickBot="1" x14ac:dyDescent="0.25">
      <c r="A19" s="174" t="s">
        <v>78</v>
      </c>
      <c r="B19" s="5" t="s">
        <v>176</v>
      </c>
      <c r="C19" s="958">
        <v>3000</v>
      </c>
      <c r="D19" s="1020">
        <v>3000</v>
      </c>
      <c r="E19" s="1022">
        <v>3518</v>
      </c>
      <c r="F19" s="129"/>
    </row>
    <row r="20" spans="1:6" s="129" customFormat="1" ht="12" customHeight="1" thickBot="1" x14ac:dyDescent="0.25">
      <c r="A20" s="58" t="s">
        <v>7</v>
      </c>
      <c r="B20" s="67" t="s">
        <v>281</v>
      </c>
      <c r="C20" s="1046"/>
      <c r="D20" s="738"/>
      <c r="E20" s="735"/>
    </row>
    <row r="21" spans="1:6" s="181" customFormat="1" ht="12" customHeight="1" x14ac:dyDescent="0.2">
      <c r="A21" s="174" t="s">
        <v>69</v>
      </c>
      <c r="B21" s="7" t="s">
        <v>152</v>
      </c>
      <c r="C21" s="957"/>
      <c r="D21" s="737"/>
      <c r="E21" s="740"/>
      <c r="F21" s="129"/>
    </row>
    <row r="22" spans="1:6" s="181" customFormat="1" ht="12" customHeight="1" x14ac:dyDescent="0.2">
      <c r="A22" s="174" t="s">
        <v>70</v>
      </c>
      <c r="B22" s="6" t="s">
        <v>282</v>
      </c>
      <c r="C22" s="957"/>
      <c r="D22" s="737"/>
      <c r="E22" s="740"/>
      <c r="F22" s="129"/>
    </row>
    <row r="23" spans="1:6" s="181" customFormat="1" ht="12" customHeight="1" x14ac:dyDescent="0.2">
      <c r="A23" s="174" t="s">
        <v>71</v>
      </c>
      <c r="B23" s="6" t="s">
        <v>283</v>
      </c>
      <c r="C23" s="957"/>
      <c r="D23" s="737"/>
      <c r="E23" s="740"/>
      <c r="F23" s="129"/>
    </row>
    <row r="24" spans="1:6" s="181" customFormat="1" ht="12" customHeight="1" thickBot="1" x14ac:dyDescent="0.25">
      <c r="A24" s="174" t="s">
        <v>72</v>
      </c>
      <c r="B24" s="6" t="s">
        <v>378</v>
      </c>
      <c r="C24" s="957"/>
      <c r="D24" s="737"/>
      <c r="E24" s="740"/>
      <c r="F24" s="129"/>
    </row>
    <row r="25" spans="1:6" s="181" customFormat="1" ht="12" customHeight="1" thickBot="1" x14ac:dyDescent="0.25">
      <c r="A25" s="62" t="s">
        <v>8</v>
      </c>
      <c r="B25" s="43" t="s">
        <v>100</v>
      </c>
      <c r="C25" s="980"/>
      <c r="D25" s="749"/>
      <c r="E25" s="734"/>
      <c r="F25" s="129"/>
    </row>
    <row r="26" spans="1:6" s="181" customFormat="1" ht="12" customHeight="1" thickBot="1" x14ac:dyDescent="0.25">
      <c r="A26" s="62" t="s">
        <v>9</v>
      </c>
      <c r="B26" s="43" t="s">
        <v>284</v>
      </c>
      <c r="C26" s="1046"/>
      <c r="D26" s="738"/>
      <c r="E26" s="735"/>
      <c r="F26" s="129"/>
    </row>
    <row r="27" spans="1:6" s="181" customFormat="1" ht="12" customHeight="1" x14ac:dyDescent="0.2">
      <c r="A27" s="175" t="s">
        <v>161</v>
      </c>
      <c r="B27" s="176" t="s">
        <v>282</v>
      </c>
      <c r="C27" s="1055"/>
      <c r="D27" s="729"/>
      <c r="E27" s="743"/>
      <c r="F27" s="129"/>
    </row>
    <row r="28" spans="1:6" s="181" customFormat="1" ht="18.75" customHeight="1" x14ac:dyDescent="0.2">
      <c r="A28" s="175" t="s">
        <v>162</v>
      </c>
      <c r="B28" s="177" t="s">
        <v>285</v>
      </c>
      <c r="C28" s="1047"/>
      <c r="D28" s="739"/>
      <c r="E28" s="741"/>
      <c r="F28" s="129"/>
    </row>
    <row r="29" spans="1:6" s="181" customFormat="1" ht="12" customHeight="1" thickBot="1" x14ac:dyDescent="0.25">
      <c r="A29" s="174" t="s">
        <v>163</v>
      </c>
      <c r="B29" s="46" t="s">
        <v>379</v>
      </c>
      <c r="C29" s="1054"/>
      <c r="D29" s="750"/>
      <c r="E29" s="747"/>
      <c r="F29" s="129"/>
    </row>
    <row r="30" spans="1:6" s="181" customFormat="1" ht="12" customHeight="1" thickBot="1" x14ac:dyDescent="0.25">
      <c r="A30" s="62" t="s">
        <v>10</v>
      </c>
      <c r="B30" s="43" t="s">
        <v>286</v>
      </c>
      <c r="C30" s="1046"/>
      <c r="D30" s="738"/>
      <c r="E30" s="735"/>
      <c r="F30" s="129"/>
    </row>
    <row r="31" spans="1:6" s="181" customFormat="1" ht="12" customHeight="1" x14ac:dyDescent="0.2">
      <c r="A31" s="175" t="s">
        <v>56</v>
      </c>
      <c r="B31" s="176" t="s">
        <v>181</v>
      </c>
      <c r="C31" s="1055"/>
      <c r="D31" s="729"/>
      <c r="E31" s="743"/>
      <c r="F31" s="129"/>
    </row>
    <row r="32" spans="1:6" s="181" customFormat="1" ht="12" customHeight="1" x14ac:dyDescent="0.2">
      <c r="A32" s="175" t="s">
        <v>57</v>
      </c>
      <c r="B32" s="177" t="s">
        <v>182</v>
      </c>
      <c r="C32" s="1047"/>
      <c r="D32" s="739"/>
      <c r="E32" s="741"/>
      <c r="F32" s="129"/>
    </row>
    <row r="33" spans="1:6" s="181" customFormat="1" ht="12" customHeight="1" thickBot="1" x14ac:dyDescent="0.25">
      <c r="A33" s="174" t="s">
        <v>58</v>
      </c>
      <c r="B33" s="46" t="s">
        <v>183</v>
      </c>
      <c r="C33" s="1054"/>
      <c r="D33" s="750"/>
      <c r="E33" s="747"/>
      <c r="F33" s="129"/>
    </row>
    <row r="34" spans="1:6" s="129" customFormat="1" ht="12" customHeight="1" thickBot="1" x14ac:dyDescent="0.25">
      <c r="A34" s="62" t="s">
        <v>11</v>
      </c>
      <c r="B34" s="43" t="s">
        <v>265</v>
      </c>
      <c r="C34" s="980"/>
      <c r="D34" s="1003">
        <v>274000</v>
      </c>
      <c r="E34" s="734">
        <v>274000</v>
      </c>
    </row>
    <row r="35" spans="1:6" s="129" customFormat="1" ht="12" customHeight="1" thickBot="1" x14ac:dyDescent="0.25">
      <c r="A35" s="62" t="s">
        <v>12</v>
      </c>
      <c r="B35" s="43" t="s">
        <v>287</v>
      </c>
      <c r="C35" s="980"/>
      <c r="D35" s="1003"/>
      <c r="E35" s="734"/>
    </row>
    <row r="36" spans="1:6" s="129" customFormat="1" ht="12" customHeight="1" thickBot="1" x14ac:dyDescent="0.25">
      <c r="A36" s="58" t="s">
        <v>13</v>
      </c>
      <c r="B36" s="43" t="s">
        <v>380</v>
      </c>
      <c r="C36" s="1046">
        <v>8197206</v>
      </c>
      <c r="D36" s="972">
        <v>8471206</v>
      </c>
      <c r="E36" s="735">
        <f>E8+E20+E25+E26+E30+E34+E35</f>
        <v>7204798</v>
      </c>
    </row>
    <row r="37" spans="1:6" s="129" customFormat="1" ht="12" customHeight="1" thickBot="1" x14ac:dyDescent="0.25">
      <c r="A37" s="68" t="s">
        <v>14</v>
      </c>
      <c r="B37" s="43" t="s">
        <v>289</v>
      </c>
      <c r="C37" s="1046">
        <v>337200312</v>
      </c>
      <c r="D37" s="972">
        <v>336795653</v>
      </c>
      <c r="E37" s="735">
        <f>SUM(E38:E40)</f>
        <v>321830480</v>
      </c>
    </row>
    <row r="38" spans="1:6" s="129" customFormat="1" ht="12" customHeight="1" x14ac:dyDescent="0.2">
      <c r="A38" s="175" t="s">
        <v>290</v>
      </c>
      <c r="B38" s="176" t="s">
        <v>137</v>
      </c>
      <c r="C38" s="1055">
        <v>1261346</v>
      </c>
      <c r="D38" s="998">
        <v>1261346</v>
      </c>
      <c r="E38" s="743">
        <v>1261346</v>
      </c>
    </row>
    <row r="39" spans="1:6" s="129" customFormat="1" ht="12" customHeight="1" x14ac:dyDescent="0.2">
      <c r="A39" s="175" t="s">
        <v>291</v>
      </c>
      <c r="B39" s="177" t="s">
        <v>0</v>
      </c>
      <c r="C39" s="1047"/>
      <c r="D39" s="1001"/>
      <c r="E39" s="741"/>
    </row>
    <row r="40" spans="1:6" s="181" customFormat="1" ht="12" customHeight="1" thickBot="1" x14ac:dyDescent="0.25">
      <c r="A40" s="174" t="s">
        <v>292</v>
      </c>
      <c r="B40" s="46" t="s">
        <v>293</v>
      </c>
      <c r="C40" s="1054">
        <v>335938966</v>
      </c>
      <c r="D40" s="1005">
        <v>335534307</v>
      </c>
      <c r="E40" s="747">
        <v>320569134</v>
      </c>
      <c r="F40" s="129"/>
    </row>
    <row r="41" spans="1:6" s="181" customFormat="1" ht="15.2" customHeight="1" thickBot="1" x14ac:dyDescent="0.25">
      <c r="A41" s="68" t="s">
        <v>15</v>
      </c>
      <c r="B41" s="69" t="s">
        <v>294</v>
      </c>
      <c r="C41" s="981">
        <v>345397518</v>
      </c>
      <c r="D41" s="1002">
        <v>345266859</v>
      </c>
      <c r="E41" s="736">
        <f>E37+E36</f>
        <v>329035278</v>
      </c>
      <c r="F41" s="129"/>
    </row>
    <row r="42" spans="1:6" s="181" customFormat="1" ht="15.2" customHeight="1" x14ac:dyDescent="0.2">
      <c r="A42" s="70"/>
      <c r="B42" s="71"/>
      <c r="C42" s="125"/>
      <c r="F42" s="129"/>
    </row>
    <row r="43" spans="1:6" ht="15.75" thickBot="1" x14ac:dyDescent="0.25">
      <c r="A43" s="72"/>
      <c r="B43" s="73"/>
      <c r="C43" s="126"/>
      <c r="F43" s="129"/>
    </row>
    <row r="44" spans="1:6" s="180" customFormat="1" ht="16.5" customHeight="1" thickBot="1" x14ac:dyDescent="0.25">
      <c r="A44" s="1363" t="s">
        <v>40</v>
      </c>
      <c r="B44" s="1364"/>
      <c r="C44" s="1364"/>
      <c r="D44" s="1364"/>
      <c r="E44" s="1365"/>
      <c r="F44" s="129"/>
    </row>
    <row r="45" spans="1:6" s="182" customFormat="1" ht="12" customHeight="1" thickBot="1" x14ac:dyDescent="0.25">
      <c r="A45" s="62" t="s">
        <v>6</v>
      </c>
      <c r="B45" s="43" t="s">
        <v>295</v>
      </c>
      <c r="C45" s="1046">
        <v>344280018</v>
      </c>
      <c r="D45" s="972">
        <v>344466859</v>
      </c>
      <c r="E45" s="735">
        <f>SUM(E46:E50)</f>
        <v>328043276</v>
      </c>
      <c r="F45" s="129"/>
    </row>
    <row r="46" spans="1:6" ht="12" customHeight="1" x14ac:dyDescent="0.2">
      <c r="A46" s="174" t="s">
        <v>63</v>
      </c>
      <c r="B46" s="7" t="s">
        <v>35</v>
      </c>
      <c r="C46" s="1055">
        <v>218334179</v>
      </c>
      <c r="D46" s="998">
        <v>225286182</v>
      </c>
      <c r="E46" s="743">
        <v>223202178</v>
      </c>
      <c r="F46" s="129"/>
    </row>
    <row r="47" spans="1:6" ht="12" customHeight="1" x14ac:dyDescent="0.2">
      <c r="A47" s="174" t="s">
        <v>64</v>
      </c>
      <c r="B47" s="6" t="s">
        <v>109</v>
      </c>
      <c r="C47" s="1045">
        <v>38909967</v>
      </c>
      <c r="D47" s="1053">
        <v>39770476</v>
      </c>
      <c r="E47" s="742">
        <v>38849061</v>
      </c>
      <c r="F47" s="129"/>
    </row>
    <row r="48" spans="1:6" ht="12" customHeight="1" x14ac:dyDescent="0.2">
      <c r="A48" s="174" t="s">
        <v>65</v>
      </c>
      <c r="B48" s="6" t="s">
        <v>83</v>
      </c>
      <c r="C48" s="1045">
        <v>87035872</v>
      </c>
      <c r="D48" s="1053">
        <v>79410201</v>
      </c>
      <c r="E48" s="742">
        <v>65992037</v>
      </c>
      <c r="F48" s="129"/>
    </row>
    <row r="49" spans="1:6" ht="12" customHeight="1" x14ac:dyDescent="0.2">
      <c r="A49" s="174" t="s">
        <v>66</v>
      </c>
      <c r="B49" s="6" t="s">
        <v>110</v>
      </c>
      <c r="C49" s="1045"/>
      <c r="D49" s="1053"/>
      <c r="E49" s="742"/>
      <c r="F49" s="129"/>
    </row>
    <row r="50" spans="1:6" ht="12" customHeight="1" thickBot="1" x14ac:dyDescent="0.25">
      <c r="A50" s="174" t="s">
        <v>84</v>
      </c>
      <c r="B50" s="6" t="s">
        <v>111</v>
      </c>
      <c r="C50" s="1045"/>
      <c r="D50" s="1053"/>
      <c r="E50" s="742"/>
      <c r="F50" s="129"/>
    </row>
    <row r="51" spans="1:6" ht="12" customHeight="1" thickBot="1" x14ac:dyDescent="0.25">
      <c r="A51" s="62" t="s">
        <v>7</v>
      </c>
      <c r="B51" s="43" t="s">
        <v>296</v>
      </c>
      <c r="C51" s="1046">
        <v>1117500</v>
      </c>
      <c r="D51" s="972">
        <v>800000</v>
      </c>
      <c r="E51" s="735">
        <f>SUM(E52:E55)</f>
        <v>723919</v>
      </c>
      <c r="F51" s="129"/>
    </row>
    <row r="52" spans="1:6" s="182" customFormat="1" ht="12" customHeight="1" x14ac:dyDescent="0.2">
      <c r="A52" s="174" t="s">
        <v>69</v>
      </c>
      <c r="B52" s="7" t="s">
        <v>130</v>
      </c>
      <c r="C52" s="1055">
        <v>800000</v>
      </c>
      <c r="D52" s="998">
        <v>800000</v>
      </c>
      <c r="E52" s="743">
        <v>723919</v>
      </c>
      <c r="F52" s="129"/>
    </row>
    <row r="53" spans="1:6" ht="12" customHeight="1" x14ac:dyDescent="0.2">
      <c r="A53" s="174" t="s">
        <v>70</v>
      </c>
      <c r="B53" s="6" t="s">
        <v>113</v>
      </c>
      <c r="C53" s="1045">
        <v>317500</v>
      </c>
      <c r="D53" s="1053"/>
      <c r="E53" s="742"/>
      <c r="F53" s="129"/>
    </row>
    <row r="54" spans="1:6" ht="12" customHeight="1" x14ac:dyDescent="0.2">
      <c r="A54" s="174" t="s">
        <v>71</v>
      </c>
      <c r="B54" s="6" t="s">
        <v>41</v>
      </c>
      <c r="C54" s="1045"/>
      <c r="D54" s="1053"/>
      <c r="E54" s="742"/>
      <c r="F54" s="129"/>
    </row>
    <row r="55" spans="1:6" ht="12" customHeight="1" thickBot="1" x14ac:dyDescent="0.25">
      <c r="A55" s="174" t="s">
        <v>72</v>
      </c>
      <c r="B55" s="6" t="s">
        <v>377</v>
      </c>
      <c r="C55" s="1045"/>
      <c r="D55" s="1053"/>
      <c r="E55" s="742"/>
      <c r="F55" s="129"/>
    </row>
    <row r="56" spans="1:6" ht="15.2" customHeight="1" thickBot="1" x14ac:dyDescent="0.25">
      <c r="A56" s="62" t="s">
        <v>8</v>
      </c>
      <c r="B56" s="43" t="s">
        <v>2</v>
      </c>
      <c r="C56" s="980"/>
      <c r="D56" s="1003"/>
      <c r="E56" s="734"/>
      <c r="F56" s="129"/>
    </row>
    <row r="57" spans="1:6" ht="15.75" thickBot="1" x14ac:dyDescent="0.25">
      <c r="A57" s="62" t="s">
        <v>9</v>
      </c>
      <c r="B57" s="74" t="s">
        <v>381</v>
      </c>
      <c r="C57" s="981">
        <v>345397518</v>
      </c>
      <c r="D57" s="1002">
        <v>345266859</v>
      </c>
      <c r="E57" s="736">
        <f>E51+E45</f>
        <v>328767195</v>
      </c>
      <c r="F57" s="129"/>
    </row>
    <row r="58" spans="1:6" ht="15.2" customHeight="1" thickBot="1" x14ac:dyDescent="0.25">
      <c r="C58" s="493">
        <f>C41-C57</f>
        <v>0</v>
      </c>
      <c r="D58" s="493">
        <f>D41-D57</f>
        <v>0</v>
      </c>
      <c r="F58" s="129"/>
    </row>
    <row r="59" spans="1:6" ht="14.45" customHeight="1" thickBot="1" x14ac:dyDescent="0.25">
      <c r="A59" s="1361" t="s">
        <v>437</v>
      </c>
      <c r="B59" s="1362"/>
      <c r="C59" s="746">
        <v>54</v>
      </c>
      <c r="D59" s="746">
        <v>53.33</v>
      </c>
      <c r="E59" s="745">
        <v>53</v>
      </c>
      <c r="F59" s="129"/>
    </row>
    <row r="60" spans="1:6" ht="15.75" thickBot="1" x14ac:dyDescent="0.25">
      <c r="A60" s="1361" t="s">
        <v>438</v>
      </c>
      <c r="B60" s="1362"/>
      <c r="C60" s="746"/>
      <c r="D60" s="746"/>
      <c r="E60" s="745"/>
      <c r="F60" s="129"/>
    </row>
  </sheetData>
  <sheetProtection formatCells="0"/>
  <mergeCells count="8">
    <mergeCell ref="A59:B59"/>
    <mergeCell ref="A60:B60"/>
    <mergeCell ref="B1:E1"/>
    <mergeCell ref="B2:D2"/>
    <mergeCell ref="B3:D3"/>
    <mergeCell ref="A7:E7"/>
    <mergeCell ref="A44:E44"/>
    <mergeCell ref="A4:E4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F61"/>
  <sheetViews>
    <sheetView zoomScale="120" zoomScaleNormal="120" workbookViewId="0">
      <selection activeCell="C11" sqref="C11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6" width="15" style="1174" customWidth="1"/>
    <col min="7" max="16384" width="9.33203125" style="76"/>
  </cols>
  <sheetData>
    <row r="1" spans="1:6" s="66" customFormat="1" ht="16.5" thickBot="1" x14ac:dyDescent="0.3">
      <c r="A1" s="260"/>
      <c r="B1" s="1357" t="str">
        <f>CONCATENATE("11. melléklet ",Z_ALAPADATOK!A7," ",Z_ALAPADATOK!B7," ",Z_ALAPADATOK!C7," ",Z_ALAPADATOK!D7," ",Z_ALAPADATOK!E7," ",Z_ALAPADATOK!F7," ",Z_ALAPADATOK!G7," ",Z_ALAPADATOK!H7)</f>
        <v>11. melléklet a 12 / 2022. ( V.30. ) önkormányzati rendelethez</v>
      </c>
      <c r="C1" s="1358"/>
      <c r="D1" s="1358"/>
      <c r="E1" s="1358"/>
      <c r="F1" s="1171"/>
    </row>
    <row r="2" spans="1:6" s="178" customFormat="1" ht="25.5" customHeight="1" thickBot="1" x14ac:dyDescent="0.25">
      <c r="A2" s="261" t="s">
        <v>412</v>
      </c>
      <c r="B2" s="1367" t="str">
        <f>CONCATENATE(Z_ALAPADATOK!B17)</f>
        <v>Egyesített Közművelődési Intézmény és Könyvtár</v>
      </c>
      <c r="C2" s="1368"/>
      <c r="D2" s="1369"/>
      <c r="E2" s="262" t="s">
        <v>461</v>
      </c>
      <c r="F2" s="1172"/>
    </row>
    <row r="3" spans="1:6" s="178" customFormat="1" ht="24.75" thickBot="1" x14ac:dyDescent="0.25">
      <c r="A3" s="261" t="s">
        <v>122</v>
      </c>
      <c r="B3" s="1367" t="s">
        <v>278</v>
      </c>
      <c r="C3" s="1368"/>
      <c r="D3" s="1369"/>
      <c r="E3" s="262" t="s">
        <v>38</v>
      </c>
      <c r="F3" s="1172"/>
    </row>
    <row r="4" spans="1:6" s="179" customFormat="1" ht="15.95" customHeight="1" thickBot="1" x14ac:dyDescent="0.3">
      <c r="A4" s="1370" t="str">
        <f>Z_6.1.sz.mell!E4</f>
        <v xml:space="preserve"> Forintban!</v>
      </c>
      <c r="B4" s="1370"/>
      <c r="C4" s="1370"/>
      <c r="D4" s="1370"/>
      <c r="E4" s="1370"/>
      <c r="F4" s="1173"/>
    </row>
    <row r="5" spans="1:6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6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  <c r="F6" s="1175"/>
    </row>
    <row r="7" spans="1:6" s="180" customFormat="1" ht="15.95" customHeight="1" thickBot="1" x14ac:dyDescent="0.25">
      <c r="A7" s="1363" t="s">
        <v>39</v>
      </c>
      <c r="B7" s="1364"/>
      <c r="C7" s="1364"/>
      <c r="D7" s="1364"/>
      <c r="E7" s="1365"/>
      <c r="F7" s="1175"/>
    </row>
    <row r="8" spans="1:6" s="129" customFormat="1" ht="12" customHeight="1" thickBot="1" x14ac:dyDescent="0.25">
      <c r="A8" s="58" t="s">
        <v>6</v>
      </c>
      <c r="B8" s="67" t="s">
        <v>373</v>
      </c>
      <c r="C8" s="1068">
        <v>13507834</v>
      </c>
      <c r="D8" s="1043">
        <v>14229732</v>
      </c>
      <c r="E8" s="1059">
        <f>SUM(E9:E19)</f>
        <v>7084852</v>
      </c>
      <c r="F8" s="1168"/>
    </row>
    <row r="9" spans="1:6" s="129" customFormat="1" ht="12" customHeight="1" x14ac:dyDescent="0.2">
      <c r="A9" s="173" t="s">
        <v>63</v>
      </c>
      <c r="B9" s="8" t="s">
        <v>167</v>
      </c>
      <c r="C9" s="974"/>
      <c r="D9" s="1042"/>
      <c r="E9" s="1062">
        <v>46161</v>
      </c>
      <c r="F9" s="1168"/>
    </row>
    <row r="10" spans="1:6" s="129" customFormat="1" ht="12" customHeight="1" x14ac:dyDescent="0.2">
      <c r="A10" s="174" t="s">
        <v>64</v>
      </c>
      <c r="B10" s="6" t="s">
        <v>168</v>
      </c>
      <c r="C10" s="957">
        <v>11296835</v>
      </c>
      <c r="D10" s="1065">
        <v>8796835</v>
      </c>
      <c r="E10" s="1057">
        <v>3349381</v>
      </c>
      <c r="F10" s="1168"/>
    </row>
    <row r="11" spans="1:6" s="129" customFormat="1" ht="12" customHeight="1" x14ac:dyDescent="0.2">
      <c r="A11" s="174" t="s">
        <v>65</v>
      </c>
      <c r="B11" s="6" t="s">
        <v>169</v>
      </c>
      <c r="C11" s="957">
        <v>5000</v>
      </c>
      <c r="D11" s="1065">
        <v>15000</v>
      </c>
      <c r="E11" s="1057">
        <v>16022</v>
      </c>
      <c r="F11" s="1168"/>
    </row>
    <row r="12" spans="1:6" s="129" customFormat="1" ht="12" customHeight="1" x14ac:dyDescent="0.2">
      <c r="A12" s="174" t="s">
        <v>66</v>
      </c>
      <c r="B12" s="6" t="s">
        <v>170</v>
      </c>
      <c r="C12" s="957"/>
      <c r="D12" s="1033"/>
      <c r="E12" s="1057"/>
      <c r="F12" s="1168"/>
    </row>
    <row r="13" spans="1:6" s="129" customFormat="1" ht="12" customHeight="1" x14ac:dyDescent="0.2">
      <c r="A13" s="174" t="s">
        <v>84</v>
      </c>
      <c r="B13" s="6" t="s">
        <v>171</v>
      </c>
      <c r="C13" s="957"/>
      <c r="D13" s="1033"/>
      <c r="E13" s="1057"/>
      <c r="F13" s="1168"/>
    </row>
    <row r="14" spans="1:6" s="129" customFormat="1" ht="12" customHeight="1" x14ac:dyDescent="0.2">
      <c r="A14" s="174" t="s">
        <v>67</v>
      </c>
      <c r="B14" s="6" t="s">
        <v>279</v>
      </c>
      <c r="C14" s="957">
        <v>1525999</v>
      </c>
      <c r="D14" s="1033">
        <v>1525999</v>
      </c>
      <c r="E14" s="1057">
        <v>443405</v>
      </c>
      <c r="F14" s="1168"/>
    </row>
    <row r="15" spans="1:6" s="129" customFormat="1" ht="12" customHeight="1" x14ac:dyDescent="0.2">
      <c r="A15" s="174" t="s">
        <v>68</v>
      </c>
      <c r="B15" s="5" t="s">
        <v>280</v>
      </c>
      <c r="C15" s="957">
        <v>680000</v>
      </c>
      <c r="D15" s="1033">
        <v>680000</v>
      </c>
      <c r="E15" s="1057"/>
      <c r="F15" s="1168"/>
    </row>
    <row r="16" spans="1:6" s="129" customFormat="1" ht="12" customHeight="1" x14ac:dyDescent="0.2">
      <c r="A16" s="174" t="s">
        <v>75</v>
      </c>
      <c r="B16" s="6" t="s">
        <v>174</v>
      </c>
      <c r="C16" s="973"/>
      <c r="D16" s="1027"/>
      <c r="E16" s="1063"/>
      <c r="F16" s="1168"/>
    </row>
    <row r="17" spans="1:6" s="181" customFormat="1" ht="12" customHeight="1" x14ac:dyDescent="0.2">
      <c r="A17" s="174" t="s">
        <v>76</v>
      </c>
      <c r="B17" s="6" t="s">
        <v>175</v>
      </c>
      <c r="C17" s="957"/>
      <c r="D17" s="1033"/>
      <c r="E17" s="1057"/>
      <c r="F17" s="1168"/>
    </row>
    <row r="18" spans="1:6" s="181" customFormat="1" ht="12" customHeight="1" x14ac:dyDescent="0.2">
      <c r="A18" s="174" t="s">
        <v>77</v>
      </c>
      <c r="B18" s="6" t="s">
        <v>310</v>
      </c>
      <c r="C18" s="958"/>
      <c r="D18" s="1020"/>
      <c r="E18" s="1058"/>
      <c r="F18" s="1168"/>
    </row>
    <row r="19" spans="1:6" s="181" customFormat="1" ht="12" customHeight="1" thickBot="1" x14ac:dyDescent="0.25">
      <c r="A19" s="174" t="s">
        <v>78</v>
      </c>
      <c r="B19" s="5" t="s">
        <v>176</v>
      </c>
      <c r="C19" s="958"/>
      <c r="D19" s="1021">
        <v>3211898</v>
      </c>
      <c r="E19" s="1058">
        <v>3229883</v>
      </c>
      <c r="F19" s="1168"/>
    </row>
    <row r="20" spans="1:6" s="129" customFormat="1" ht="12" customHeight="1" thickBot="1" x14ac:dyDescent="0.25">
      <c r="A20" s="58" t="s">
        <v>7</v>
      </c>
      <c r="B20" s="67" t="s">
        <v>281</v>
      </c>
      <c r="C20" s="1068">
        <v>9618799</v>
      </c>
      <c r="D20" s="1043">
        <v>9618799</v>
      </c>
      <c r="E20" s="1059">
        <f>E23</f>
        <v>9618799</v>
      </c>
      <c r="F20" s="1168"/>
    </row>
    <row r="21" spans="1:6" s="181" customFormat="1" ht="12" customHeight="1" x14ac:dyDescent="0.2">
      <c r="A21" s="174" t="s">
        <v>69</v>
      </c>
      <c r="B21" s="7" t="s">
        <v>152</v>
      </c>
      <c r="C21" s="957"/>
      <c r="D21" s="1044"/>
      <c r="E21" s="1057"/>
      <c r="F21" s="1168"/>
    </row>
    <row r="22" spans="1:6" s="181" customFormat="1" ht="12" customHeight="1" x14ac:dyDescent="0.2">
      <c r="A22" s="174" t="s">
        <v>70</v>
      </c>
      <c r="B22" s="6" t="s">
        <v>282</v>
      </c>
      <c r="C22" s="957"/>
      <c r="D22" s="1033"/>
      <c r="E22" s="1057"/>
      <c r="F22" s="1168"/>
    </row>
    <row r="23" spans="1:6" s="181" customFormat="1" ht="12" customHeight="1" x14ac:dyDescent="0.2">
      <c r="A23" s="174" t="s">
        <v>71</v>
      </c>
      <c r="B23" s="6" t="s">
        <v>283</v>
      </c>
      <c r="C23" s="957">
        <v>9618799</v>
      </c>
      <c r="D23" s="1033">
        <v>9618799</v>
      </c>
      <c r="E23" s="1057">
        <v>9618799</v>
      </c>
      <c r="F23" s="1168"/>
    </row>
    <row r="24" spans="1:6" s="181" customFormat="1" ht="12" customHeight="1" thickBot="1" x14ac:dyDescent="0.25">
      <c r="A24" s="174" t="s">
        <v>72</v>
      </c>
      <c r="B24" s="6" t="s">
        <v>378</v>
      </c>
      <c r="C24" s="957">
        <v>9618799</v>
      </c>
      <c r="D24" s="1033">
        <v>9618799</v>
      </c>
      <c r="E24" s="1057">
        <v>9618799</v>
      </c>
      <c r="F24" s="1168"/>
    </row>
    <row r="25" spans="1:6" s="181" customFormat="1" ht="12" customHeight="1" thickBot="1" x14ac:dyDescent="0.25">
      <c r="A25" s="62" t="s">
        <v>8</v>
      </c>
      <c r="B25" s="43" t="s">
        <v>100</v>
      </c>
      <c r="C25" s="748"/>
      <c r="D25" s="1034"/>
      <c r="E25" s="1061"/>
      <c r="F25" s="1168"/>
    </row>
    <row r="26" spans="1:6" s="181" customFormat="1" ht="12" customHeight="1" thickBot="1" x14ac:dyDescent="0.25">
      <c r="A26" s="62" t="s">
        <v>9</v>
      </c>
      <c r="B26" s="43" t="s">
        <v>284</v>
      </c>
      <c r="C26" s="1068">
        <v>51850900</v>
      </c>
      <c r="D26" s="1043">
        <v>51963238</v>
      </c>
      <c r="E26" s="1059">
        <f>SUM(E27:E28)</f>
        <v>51963238</v>
      </c>
      <c r="F26" s="1168"/>
    </row>
    <row r="27" spans="1:6" s="181" customFormat="1" ht="12" customHeight="1" x14ac:dyDescent="0.2">
      <c r="A27" s="175" t="s">
        <v>161</v>
      </c>
      <c r="B27" s="176" t="s">
        <v>282</v>
      </c>
      <c r="C27" s="744"/>
      <c r="D27" s="1024"/>
      <c r="E27" s="1056"/>
      <c r="F27" s="1168"/>
    </row>
    <row r="28" spans="1:6" s="181" customFormat="1" ht="22.5" x14ac:dyDescent="0.2">
      <c r="A28" s="175" t="s">
        <v>162</v>
      </c>
      <c r="B28" s="177" t="s">
        <v>285</v>
      </c>
      <c r="C28" s="1069">
        <v>51850900</v>
      </c>
      <c r="D28" s="1065">
        <v>51963238</v>
      </c>
      <c r="E28" s="1060">
        <v>51963238</v>
      </c>
      <c r="F28" s="1168"/>
    </row>
    <row r="29" spans="1:6" s="181" customFormat="1" ht="12" customHeight="1" thickBot="1" x14ac:dyDescent="0.25">
      <c r="A29" s="174" t="s">
        <v>163</v>
      </c>
      <c r="B29" s="46" t="s">
        <v>379</v>
      </c>
      <c r="C29" s="1072">
        <v>51850900</v>
      </c>
      <c r="D29" s="1025">
        <v>51850900</v>
      </c>
      <c r="E29" s="1066">
        <v>51850900</v>
      </c>
      <c r="F29" s="1168"/>
    </row>
    <row r="30" spans="1:6" s="181" customFormat="1" ht="12" customHeight="1" thickBot="1" x14ac:dyDescent="0.25">
      <c r="A30" s="62" t="s">
        <v>10</v>
      </c>
      <c r="B30" s="43" t="s">
        <v>286</v>
      </c>
      <c r="C30" s="731"/>
      <c r="D30" s="1035"/>
      <c r="E30" s="1059">
        <f>SUM(E31:E33)</f>
        <v>0</v>
      </c>
      <c r="F30" s="1168"/>
    </row>
    <row r="31" spans="1:6" s="181" customFormat="1" ht="12" customHeight="1" x14ac:dyDescent="0.2">
      <c r="A31" s="175" t="s">
        <v>56</v>
      </c>
      <c r="B31" s="176" t="s">
        <v>181</v>
      </c>
      <c r="C31" s="744"/>
      <c r="D31" s="1024"/>
      <c r="E31" s="1056"/>
      <c r="F31" s="1168"/>
    </row>
    <row r="32" spans="1:6" s="181" customFormat="1" ht="12" customHeight="1" x14ac:dyDescent="0.2">
      <c r="A32" s="175" t="s">
        <v>57</v>
      </c>
      <c r="B32" s="177" t="s">
        <v>182</v>
      </c>
      <c r="C32" s="732"/>
      <c r="D32" s="1041"/>
      <c r="E32" s="1060"/>
      <c r="F32" s="1168"/>
    </row>
    <row r="33" spans="1:6" s="181" customFormat="1" ht="12" customHeight="1" thickBot="1" x14ac:dyDescent="0.25">
      <c r="A33" s="174" t="s">
        <v>58</v>
      </c>
      <c r="B33" s="46" t="s">
        <v>183</v>
      </c>
      <c r="C33" s="728"/>
      <c r="D33" s="1030"/>
      <c r="E33" s="1066"/>
      <c r="F33" s="1168"/>
    </row>
    <row r="34" spans="1:6" s="129" customFormat="1" ht="12" customHeight="1" thickBot="1" x14ac:dyDescent="0.25">
      <c r="A34" s="62" t="s">
        <v>11</v>
      </c>
      <c r="B34" s="43" t="s">
        <v>265</v>
      </c>
      <c r="C34" s="748"/>
      <c r="D34" s="1039"/>
      <c r="E34" s="1061"/>
      <c r="F34" s="1168"/>
    </row>
    <row r="35" spans="1:6" s="129" customFormat="1" ht="12" customHeight="1" thickBot="1" x14ac:dyDescent="0.25">
      <c r="A35" s="62" t="s">
        <v>12</v>
      </c>
      <c r="B35" s="43" t="s">
        <v>287</v>
      </c>
      <c r="C35" s="748"/>
      <c r="D35" s="1039"/>
      <c r="E35" s="1061"/>
      <c r="F35" s="1168"/>
    </row>
    <row r="36" spans="1:6" s="129" customFormat="1" ht="12" customHeight="1" thickBot="1" x14ac:dyDescent="0.25">
      <c r="A36" s="58" t="s">
        <v>13</v>
      </c>
      <c r="B36" s="43" t="s">
        <v>380</v>
      </c>
      <c r="C36" s="1068">
        <v>74977533</v>
      </c>
      <c r="D36" s="1035">
        <v>75811769</v>
      </c>
      <c r="E36" s="1059">
        <f>E35+E34+E30+E26+E25+E20+E8</f>
        <v>68666889</v>
      </c>
      <c r="F36" s="1168"/>
    </row>
    <row r="37" spans="1:6" s="129" customFormat="1" ht="12" customHeight="1" thickBot="1" x14ac:dyDescent="0.25">
      <c r="A37" s="68" t="s">
        <v>14</v>
      </c>
      <c r="B37" s="43" t="s">
        <v>289</v>
      </c>
      <c r="C37" s="1068">
        <v>111612800</v>
      </c>
      <c r="D37" s="1035">
        <v>114214365</v>
      </c>
      <c r="E37" s="1059">
        <f>SUM(E38:E40)</f>
        <v>113915341</v>
      </c>
      <c r="F37" s="1168"/>
    </row>
    <row r="38" spans="1:6" s="129" customFormat="1" ht="12" customHeight="1" x14ac:dyDescent="0.2">
      <c r="A38" s="175" t="s">
        <v>290</v>
      </c>
      <c r="B38" s="176" t="s">
        <v>137</v>
      </c>
      <c r="C38" s="1073">
        <v>284096</v>
      </c>
      <c r="D38" s="1024">
        <v>284096</v>
      </c>
      <c r="E38" s="1056">
        <v>284096</v>
      </c>
      <c r="F38" s="1168"/>
    </row>
    <row r="39" spans="1:6" s="129" customFormat="1" ht="12" customHeight="1" x14ac:dyDescent="0.2">
      <c r="A39" s="175" t="s">
        <v>291</v>
      </c>
      <c r="B39" s="177" t="s">
        <v>0</v>
      </c>
      <c r="C39" s="1069"/>
      <c r="D39" s="1041"/>
      <c r="E39" s="1060"/>
      <c r="F39" s="1168"/>
    </row>
    <row r="40" spans="1:6" s="181" customFormat="1" ht="12" customHeight="1" thickBot="1" x14ac:dyDescent="0.25">
      <c r="A40" s="174" t="s">
        <v>292</v>
      </c>
      <c r="B40" s="46" t="s">
        <v>293</v>
      </c>
      <c r="C40" s="1072">
        <v>111328704</v>
      </c>
      <c r="D40" s="1030">
        <v>113930269</v>
      </c>
      <c r="E40" s="1066">
        <v>113631245</v>
      </c>
      <c r="F40" s="1168"/>
    </row>
    <row r="41" spans="1:6" s="181" customFormat="1" ht="15.2" customHeight="1" thickBot="1" x14ac:dyDescent="0.25">
      <c r="A41" s="68" t="s">
        <v>15</v>
      </c>
      <c r="B41" s="69" t="s">
        <v>294</v>
      </c>
      <c r="C41" s="981">
        <v>186590333</v>
      </c>
      <c r="D41" s="1040">
        <v>190026134</v>
      </c>
      <c r="E41" s="1064">
        <f>E37+E36</f>
        <v>182582230</v>
      </c>
      <c r="F41" s="1168"/>
    </row>
    <row r="42" spans="1:6" s="181" customFormat="1" ht="15.2" customHeight="1" x14ac:dyDescent="0.2">
      <c r="A42" s="70"/>
      <c r="B42" s="71"/>
      <c r="C42" s="125"/>
      <c r="D42" s="1052"/>
      <c r="F42" s="1168"/>
    </row>
    <row r="43" spans="1:6" ht="15.75" thickBot="1" x14ac:dyDescent="0.25">
      <c r="A43" s="72"/>
      <c r="B43" s="73"/>
      <c r="C43" s="126"/>
      <c r="F43" s="1168"/>
    </row>
    <row r="44" spans="1:6" s="180" customFormat="1" ht="16.5" customHeight="1" thickBot="1" x14ac:dyDescent="0.25">
      <c r="A44" s="1363" t="s">
        <v>40</v>
      </c>
      <c r="B44" s="1364"/>
      <c r="C44" s="1364"/>
      <c r="D44" s="1364"/>
      <c r="E44" s="1365"/>
      <c r="F44" s="1168"/>
    </row>
    <row r="45" spans="1:6" s="182" customFormat="1" ht="12" customHeight="1" thickBot="1" x14ac:dyDescent="0.25">
      <c r="A45" s="62" t="s">
        <v>6</v>
      </c>
      <c r="B45" s="43" t="s">
        <v>295</v>
      </c>
      <c r="C45" s="1068">
        <v>127017804</v>
      </c>
      <c r="D45" s="972">
        <v>127898866</v>
      </c>
      <c r="E45" s="735">
        <f>SUM(E46:E50)</f>
        <v>119341306</v>
      </c>
      <c r="F45" s="1168"/>
    </row>
    <row r="46" spans="1:6" ht="12" customHeight="1" x14ac:dyDescent="0.2">
      <c r="A46" s="174" t="s">
        <v>63</v>
      </c>
      <c r="B46" s="7" t="s">
        <v>35</v>
      </c>
      <c r="C46" s="1073">
        <v>56715808</v>
      </c>
      <c r="D46" s="998">
        <v>57512774</v>
      </c>
      <c r="E46" s="743">
        <v>55670898</v>
      </c>
      <c r="F46" s="1168"/>
    </row>
    <row r="47" spans="1:6" ht="12" customHeight="1" x14ac:dyDescent="0.2">
      <c r="A47" s="174" t="s">
        <v>64</v>
      </c>
      <c r="B47" s="6" t="s">
        <v>109</v>
      </c>
      <c r="C47" s="1067">
        <v>9106816</v>
      </c>
      <c r="D47" s="1071">
        <v>9261752</v>
      </c>
      <c r="E47" s="742">
        <v>8654679</v>
      </c>
      <c r="F47" s="1168"/>
    </row>
    <row r="48" spans="1:6" ht="12" customHeight="1" x14ac:dyDescent="0.2">
      <c r="A48" s="174" t="s">
        <v>65</v>
      </c>
      <c r="B48" s="6" t="s">
        <v>83</v>
      </c>
      <c r="C48" s="1067">
        <v>61195180</v>
      </c>
      <c r="D48" s="1071">
        <v>61115368</v>
      </c>
      <c r="E48" s="742">
        <v>55006757</v>
      </c>
      <c r="F48" s="1168"/>
    </row>
    <row r="49" spans="1:6" ht="12" customHeight="1" x14ac:dyDescent="0.2">
      <c r="A49" s="174" t="s">
        <v>66</v>
      </c>
      <c r="B49" s="6" t="s">
        <v>110</v>
      </c>
      <c r="C49" s="1067"/>
      <c r="D49" s="1071"/>
      <c r="E49" s="742"/>
      <c r="F49" s="1168"/>
    </row>
    <row r="50" spans="1:6" ht="12" customHeight="1" thickBot="1" x14ac:dyDescent="0.25">
      <c r="A50" s="174" t="s">
        <v>84</v>
      </c>
      <c r="B50" s="6" t="s">
        <v>111</v>
      </c>
      <c r="C50" s="1067"/>
      <c r="D50" s="1071">
        <v>8972</v>
      </c>
      <c r="E50" s="742">
        <v>8972</v>
      </c>
      <c r="F50" s="1168"/>
    </row>
    <row r="51" spans="1:6" ht="12" customHeight="1" thickBot="1" x14ac:dyDescent="0.25">
      <c r="A51" s="62" t="s">
        <v>7</v>
      </c>
      <c r="B51" s="43" t="s">
        <v>296</v>
      </c>
      <c r="C51" s="1068">
        <v>59572529</v>
      </c>
      <c r="D51" s="972">
        <v>62127268</v>
      </c>
      <c r="E51" s="735">
        <f>SUM(E52:E55)</f>
        <v>61742262</v>
      </c>
      <c r="F51" s="1168"/>
    </row>
    <row r="52" spans="1:6" s="182" customFormat="1" ht="12" customHeight="1" x14ac:dyDescent="0.2">
      <c r="A52" s="174" t="s">
        <v>69</v>
      </c>
      <c r="B52" s="7" t="s">
        <v>130</v>
      </c>
      <c r="C52" s="1073">
        <v>58071807</v>
      </c>
      <c r="D52" s="998">
        <v>59387853</v>
      </c>
      <c r="E52" s="743">
        <v>59002847</v>
      </c>
      <c r="F52" s="1168"/>
    </row>
    <row r="53" spans="1:6" ht="12" customHeight="1" x14ac:dyDescent="0.2">
      <c r="A53" s="174" t="s">
        <v>70</v>
      </c>
      <c r="B53" s="6" t="s">
        <v>113</v>
      </c>
      <c r="C53" s="1067">
        <v>1500722</v>
      </c>
      <c r="D53" s="1071">
        <v>2739415</v>
      </c>
      <c r="E53" s="742">
        <v>2739415</v>
      </c>
      <c r="F53" s="1168"/>
    </row>
    <row r="54" spans="1:6" ht="12" customHeight="1" x14ac:dyDescent="0.2">
      <c r="A54" s="174" t="s">
        <v>71</v>
      </c>
      <c r="B54" s="6" t="s">
        <v>41</v>
      </c>
      <c r="C54" s="1067"/>
      <c r="D54" s="1071"/>
      <c r="E54" s="742"/>
      <c r="F54" s="1168"/>
    </row>
    <row r="55" spans="1:6" ht="12" customHeight="1" thickBot="1" x14ac:dyDescent="0.25">
      <c r="A55" s="174" t="s">
        <v>72</v>
      </c>
      <c r="B55" s="6" t="s">
        <v>377</v>
      </c>
      <c r="C55" s="1067"/>
      <c r="D55" s="1071"/>
      <c r="E55" s="742"/>
      <c r="F55" s="1168"/>
    </row>
    <row r="56" spans="1:6" ht="15.2" customHeight="1" thickBot="1" x14ac:dyDescent="0.25">
      <c r="A56" s="62" t="s">
        <v>8</v>
      </c>
      <c r="B56" s="43" t="s">
        <v>2</v>
      </c>
      <c r="C56" s="980"/>
      <c r="D56" s="1003"/>
      <c r="E56" s="734"/>
      <c r="F56" s="1168"/>
    </row>
    <row r="57" spans="1:6" ht="15.75" thickBot="1" x14ac:dyDescent="0.25">
      <c r="A57" s="62" t="s">
        <v>9</v>
      </c>
      <c r="B57" s="74" t="s">
        <v>381</v>
      </c>
      <c r="C57" s="981">
        <v>186590333</v>
      </c>
      <c r="D57" s="1002">
        <v>190026134</v>
      </c>
      <c r="E57" s="736">
        <f>E45+E51</f>
        <v>181083568</v>
      </c>
      <c r="F57" s="1168"/>
    </row>
    <row r="58" spans="1:6" ht="15.2" customHeight="1" thickBot="1" x14ac:dyDescent="0.25">
      <c r="C58" s="493">
        <f>C41-C57</f>
        <v>0</v>
      </c>
      <c r="D58" s="493">
        <f>D41-D57</f>
        <v>0</v>
      </c>
    </row>
    <row r="59" spans="1:6" ht="14.45" customHeight="1" thickBot="1" x14ac:dyDescent="0.25">
      <c r="A59" s="1361" t="s">
        <v>437</v>
      </c>
      <c r="B59" s="1362"/>
      <c r="C59" s="755">
        <v>19.75</v>
      </c>
      <c r="D59" s="755">
        <v>19.75</v>
      </c>
      <c r="E59" s="756">
        <v>18</v>
      </c>
    </row>
    <row r="60" spans="1:6" ht="13.5" thickBot="1" x14ac:dyDescent="0.25">
      <c r="A60" s="1361" t="s">
        <v>873</v>
      </c>
      <c r="B60" s="1362"/>
      <c r="C60" s="755">
        <v>0</v>
      </c>
      <c r="D60" s="755">
        <v>0</v>
      </c>
      <c r="E60" s="756">
        <v>0</v>
      </c>
    </row>
    <row r="61" spans="1:6" ht="13.5" thickBot="1" x14ac:dyDescent="0.25">
      <c r="A61" s="1361" t="s">
        <v>438</v>
      </c>
      <c r="B61" s="1362"/>
      <c r="C61" s="755"/>
      <c r="D61" s="755"/>
      <c r="E61" s="756"/>
    </row>
  </sheetData>
  <sheetProtection formatCells="0"/>
  <mergeCells count="9">
    <mergeCell ref="A61:B61"/>
    <mergeCell ref="A60:B60"/>
    <mergeCell ref="B1:E1"/>
    <mergeCell ref="B2:D2"/>
    <mergeCell ref="B3:D3"/>
    <mergeCell ref="A7:E7"/>
    <mergeCell ref="A44:E44"/>
    <mergeCell ref="A4:E4"/>
    <mergeCell ref="A59:B59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E64"/>
  <sheetViews>
    <sheetView zoomScale="120" zoomScaleNormal="120" workbookViewId="0">
      <selection activeCell="E16" sqref="E16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16384" width="9.33203125" style="76"/>
  </cols>
  <sheetData>
    <row r="1" spans="1:5" s="66" customFormat="1" ht="16.5" thickBot="1" x14ac:dyDescent="0.3">
      <c r="A1" s="260"/>
      <c r="B1" s="1357" t="str">
        <f>CONCATENATE("12. melléklet ",Z_ALAPADATOK!A7," ",Z_ALAPADATOK!B7," ",Z_ALAPADATOK!C7," ",Z_ALAPADATOK!D7," ",Z_ALAPADATOK!E7," ",Z_ALAPADATOK!F7," ",Z_ALAPADATOK!G7," ",Z_ALAPADATOK!H7)</f>
        <v>12. melléklet a 12 / 2022. ( V.30. ) önkormányzati rendelethez</v>
      </c>
      <c r="C1" s="1358"/>
      <c r="D1" s="1358"/>
      <c r="E1" s="1358"/>
    </row>
    <row r="2" spans="1:5" s="178" customFormat="1" ht="25.5" customHeight="1" thickBot="1" x14ac:dyDescent="0.25">
      <c r="A2" s="261" t="s">
        <v>412</v>
      </c>
      <c r="B2" s="1367" t="str">
        <f>CONCATENATE(Z_ALAPADATOK!B19)</f>
        <v>Kornisné Liptay Elza Szociális és Gyermekjóléti Központ</v>
      </c>
      <c r="C2" s="1368"/>
      <c r="D2" s="1369"/>
      <c r="E2" s="262" t="s">
        <v>462</v>
      </c>
    </row>
    <row r="3" spans="1:5" s="178" customFormat="1" ht="24.75" thickBot="1" x14ac:dyDescent="0.25">
      <c r="A3" s="261" t="s">
        <v>122</v>
      </c>
      <c r="B3" s="1367" t="s">
        <v>278</v>
      </c>
      <c r="C3" s="1368"/>
      <c r="D3" s="1369"/>
      <c r="E3" s="262" t="s">
        <v>38</v>
      </c>
    </row>
    <row r="4" spans="1:5" s="179" customFormat="1" ht="15.95" customHeight="1" thickBot="1" x14ac:dyDescent="0.3">
      <c r="A4" s="1370" t="str">
        <f>Z_6.1.sz.mell!E4</f>
        <v xml:space="preserve"> Forintban!</v>
      </c>
      <c r="B4" s="1370"/>
      <c r="C4" s="1370"/>
      <c r="D4" s="1370"/>
      <c r="E4" s="1370"/>
    </row>
    <row r="5" spans="1:5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5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5" s="180" customFormat="1" ht="15.95" customHeight="1" thickBot="1" x14ac:dyDescent="0.25">
      <c r="A7" s="1363" t="s">
        <v>39</v>
      </c>
      <c r="B7" s="1364"/>
      <c r="C7" s="1364"/>
      <c r="D7" s="1364"/>
      <c r="E7" s="1365"/>
    </row>
    <row r="8" spans="1:5" s="129" customFormat="1" ht="12" customHeight="1" thickBot="1" x14ac:dyDescent="0.25">
      <c r="A8" s="58" t="s">
        <v>6</v>
      </c>
      <c r="B8" s="67" t="s">
        <v>373</v>
      </c>
      <c r="C8" s="1068">
        <v>198993045</v>
      </c>
      <c r="D8" s="1068">
        <v>200227485</v>
      </c>
      <c r="E8" s="1059">
        <v>187571208</v>
      </c>
    </row>
    <row r="9" spans="1:5" s="129" customFormat="1" ht="12" customHeight="1" x14ac:dyDescent="0.2">
      <c r="A9" s="173" t="s">
        <v>63</v>
      </c>
      <c r="B9" s="8" t="s">
        <v>167</v>
      </c>
      <c r="C9" s="974"/>
      <c r="D9" s="974"/>
      <c r="E9" s="783"/>
    </row>
    <row r="10" spans="1:5" s="129" customFormat="1" ht="12" customHeight="1" x14ac:dyDescent="0.2">
      <c r="A10" s="174" t="s">
        <v>64</v>
      </c>
      <c r="B10" s="6" t="s">
        <v>168</v>
      </c>
      <c r="C10" s="957">
        <v>11413000</v>
      </c>
      <c r="D10" s="999">
        <v>12385000</v>
      </c>
      <c r="E10" s="772">
        <v>13012394</v>
      </c>
    </row>
    <row r="11" spans="1:5" s="129" customFormat="1" ht="12" customHeight="1" x14ac:dyDescent="0.2">
      <c r="A11" s="174" t="s">
        <v>65</v>
      </c>
      <c r="B11" s="6" t="s">
        <v>169</v>
      </c>
      <c r="C11" s="957">
        <v>10090000</v>
      </c>
      <c r="D11" s="999">
        <v>10090000</v>
      </c>
      <c r="E11" s="772">
        <v>7631639</v>
      </c>
    </row>
    <row r="12" spans="1:5" s="129" customFormat="1" ht="12" customHeight="1" x14ac:dyDescent="0.2">
      <c r="A12" s="174" t="s">
        <v>66</v>
      </c>
      <c r="B12" s="6" t="s">
        <v>170</v>
      </c>
      <c r="C12" s="957"/>
      <c r="D12" s="999"/>
      <c r="E12" s="772"/>
    </row>
    <row r="13" spans="1:5" s="129" customFormat="1" ht="12" customHeight="1" x14ac:dyDescent="0.2">
      <c r="A13" s="174" t="s">
        <v>84</v>
      </c>
      <c r="B13" s="6" t="s">
        <v>171</v>
      </c>
      <c r="C13" s="957">
        <v>173575135</v>
      </c>
      <c r="D13" s="999">
        <v>173375135</v>
      </c>
      <c r="E13" s="772">
        <v>163219450</v>
      </c>
    </row>
    <row r="14" spans="1:5" s="129" customFormat="1" ht="12" customHeight="1" x14ac:dyDescent="0.2">
      <c r="A14" s="174" t="s">
        <v>67</v>
      </c>
      <c r="B14" s="6" t="s">
        <v>279</v>
      </c>
      <c r="C14" s="957">
        <v>3914910</v>
      </c>
      <c r="D14" s="999">
        <v>4177350</v>
      </c>
      <c r="E14" s="772">
        <v>3668848</v>
      </c>
    </row>
    <row r="15" spans="1:5" s="129" customFormat="1" ht="12" customHeight="1" x14ac:dyDescent="0.2">
      <c r="A15" s="174" t="s">
        <v>68</v>
      </c>
      <c r="B15" s="5" t="s">
        <v>280</v>
      </c>
      <c r="C15" s="957"/>
      <c r="D15" s="999"/>
      <c r="E15" s="772"/>
    </row>
    <row r="16" spans="1:5" s="129" customFormat="1" ht="12" customHeight="1" x14ac:dyDescent="0.2">
      <c r="A16" s="174" t="s">
        <v>75</v>
      </c>
      <c r="B16" s="6" t="s">
        <v>174</v>
      </c>
      <c r="C16" s="973"/>
      <c r="D16" s="1004"/>
      <c r="E16" s="776"/>
    </row>
    <row r="17" spans="1:5" s="181" customFormat="1" ht="12" customHeight="1" x14ac:dyDescent="0.2">
      <c r="A17" s="174" t="s">
        <v>76</v>
      </c>
      <c r="B17" s="6" t="s">
        <v>175</v>
      </c>
      <c r="C17" s="957"/>
      <c r="D17" s="999"/>
      <c r="E17" s="772"/>
    </row>
    <row r="18" spans="1:5" s="181" customFormat="1" ht="12" customHeight="1" x14ac:dyDescent="0.2">
      <c r="A18" s="174" t="s">
        <v>77</v>
      </c>
      <c r="B18" s="6" t="s">
        <v>310</v>
      </c>
      <c r="C18" s="958"/>
      <c r="D18" s="1000"/>
      <c r="E18" s="773"/>
    </row>
    <row r="19" spans="1:5" s="181" customFormat="1" ht="12" customHeight="1" thickBot="1" x14ac:dyDescent="0.25">
      <c r="A19" s="174" t="s">
        <v>78</v>
      </c>
      <c r="B19" s="5" t="s">
        <v>176</v>
      </c>
      <c r="C19" s="958"/>
      <c r="D19" s="1000"/>
      <c r="E19" s="773">
        <v>38877</v>
      </c>
    </row>
    <row r="20" spans="1:5" s="129" customFormat="1" ht="12" customHeight="1" thickBot="1" x14ac:dyDescent="0.25">
      <c r="A20" s="58" t="s">
        <v>7</v>
      </c>
      <c r="B20" s="67" t="s">
        <v>281</v>
      </c>
      <c r="C20" s="1068">
        <v>90180220</v>
      </c>
      <c r="D20" s="972">
        <v>118042014</v>
      </c>
      <c r="E20" s="936">
        <v>118042013</v>
      </c>
    </row>
    <row r="21" spans="1:5" s="181" customFormat="1" ht="12" customHeight="1" x14ac:dyDescent="0.2">
      <c r="A21" s="174" t="s">
        <v>69</v>
      </c>
      <c r="B21" s="7" t="s">
        <v>152</v>
      </c>
      <c r="C21" s="957"/>
      <c r="D21" s="999"/>
      <c r="E21" s="772"/>
    </row>
    <row r="22" spans="1:5" s="181" customFormat="1" ht="12" customHeight="1" x14ac:dyDescent="0.2">
      <c r="A22" s="174" t="s">
        <v>70</v>
      </c>
      <c r="B22" s="6" t="s">
        <v>282</v>
      </c>
      <c r="C22" s="957"/>
      <c r="D22" s="999"/>
      <c r="E22" s="772"/>
    </row>
    <row r="23" spans="1:5" s="181" customFormat="1" ht="12" customHeight="1" x14ac:dyDescent="0.2">
      <c r="A23" s="174" t="s">
        <v>71</v>
      </c>
      <c r="B23" s="6" t="s">
        <v>283</v>
      </c>
      <c r="C23" s="957">
        <v>90180220</v>
      </c>
      <c r="D23" s="999">
        <v>118042014</v>
      </c>
      <c r="E23" s="772">
        <v>118042013</v>
      </c>
    </row>
    <row r="24" spans="1:5" s="181" customFormat="1" ht="12" customHeight="1" thickBot="1" x14ac:dyDescent="0.25">
      <c r="A24" s="174" t="s">
        <v>72</v>
      </c>
      <c r="B24" s="6" t="s">
        <v>378</v>
      </c>
      <c r="C24" s="957">
        <v>73588684</v>
      </c>
      <c r="D24" s="999">
        <v>73588685</v>
      </c>
      <c r="E24" s="772">
        <v>73588684</v>
      </c>
    </row>
    <row r="25" spans="1:5" s="181" customFormat="1" ht="12" customHeight="1" thickBot="1" x14ac:dyDescent="0.25">
      <c r="A25" s="62" t="s">
        <v>8</v>
      </c>
      <c r="B25" s="43" t="s">
        <v>100</v>
      </c>
      <c r="C25" s="980"/>
      <c r="D25" s="1003"/>
      <c r="E25" s="765"/>
    </row>
    <row r="26" spans="1:5" s="181" customFormat="1" ht="12" customHeight="1" thickBot="1" x14ac:dyDescent="0.25">
      <c r="A26" s="62" t="s">
        <v>9</v>
      </c>
      <c r="B26" s="43" t="s">
        <v>284</v>
      </c>
      <c r="C26" s="1068">
        <v>10078381</v>
      </c>
      <c r="D26" s="972">
        <v>19140587</v>
      </c>
      <c r="E26" s="936">
        <v>19140587</v>
      </c>
    </row>
    <row r="27" spans="1:5" s="181" customFormat="1" ht="12" customHeight="1" x14ac:dyDescent="0.2">
      <c r="A27" s="175" t="s">
        <v>161</v>
      </c>
      <c r="B27" s="176" t="s">
        <v>282</v>
      </c>
      <c r="C27" s="1073"/>
      <c r="D27" s="998"/>
      <c r="E27" s="777"/>
    </row>
    <row r="28" spans="1:5" s="181" customFormat="1" ht="12" customHeight="1" x14ac:dyDescent="0.2">
      <c r="A28" s="175" t="s">
        <v>162</v>
      </c>
      <c r="B28" s="177" t="s">
        <v>285</v>
      </c>
      <c r="C28" s="1069">
        <v>10078381</v>
      </c>
      <c r="D28" s="1001">
        <v>19140587</v>
      </c>
      <c r="E28" s="774">
        <v>19140587</v>
      </c>
    </row>
    <row r="29" spans="1:5" s="181" customFormat="1" ht="12" customHeight="1" thickBot="1" x14ac:dyDescent="0.25">
      <c r="A29" s="174" t="s">
        <v>163</v>
      </c>
      <c r="B29" s="46" t="s">
        <v>379</v>
      </c>
      <c r="C29" s="1072">
        <v>1193800</v>
      </c>
      <c r="D29" s="1005">
        <v>1193800</v>
      </c>
      <c r="E29" s="784">
        <v>1193800</v>
      </c>
    </row>
    <row r="30" spans="1:5" s="181" customFormat="1" ht="12" customHeight="1" thickBot="1" x14ac:dyDescent="0.25">
      <c r="A30" s="62" t="s">
        <v>10</v>
      </c>
      <c r="B30" s="43" t="s">
        <v>286</v>
      </c>
      <c r="C30" s="1068"/>
      <c r="D30" s="972"/>
      <c r="E30" s="936"/>
    </row>
    <row r="31" spans="1:5" s="181" customFormat="1" ht="12" customHeight="1" x14ac:dyDescent="0.2">
      <c r="A31" s="175" t="s">
        <v>56</v>
      </c>
      <c r="B31" s="176" t="s">
        <v>181</v>
      </c>
      <c r="C31" s="1073"/>
      <c r="D31" s="998"/>
      <c r="E31" s="777"/>
    </row>
    <row r="32" spans="1:5" s="181" customFormat="1" ht="12" customHeight="1" x14ac:dyDescent="0.2">
      <c r="A32" s="175" t="s">
        <v>57</v>
      </c>
      <c r="B32" s="177" t="s">
        <v>182</v>
      </c>
      <c r="C32" s="1069"/>
      <c r="D32" s="1001"/>
      <c r="E32" s="774"/>
    </row>
    <row r="33" spans="1:5" s="181" customFormat="1" ht="12" customHeight="1" thickBot="1" x14ac:dyDescent="0.25">
      <c r="A33" s="174" t="s">
        <v>58</v>
      </c>
      <c r="B33" s="46" t="s">
        <v>183</v>
      </c>
      <c r="C33" s="1072"/>
      <c r="D33" s="1005"/>
      <c r="E33" s="784"/>
    </row>
    <row r="34" spans="1:5" s="129" customFormat="1" ht="12" customHeight="1" thickBot="1" x14ac:dyDescent="0.25">
      <c r="A34" s="62" t="s">
        <v>11</v>
      </c>
      <c r="B34" s="43" t="s">
        <v>265</v>
      </c>
      <c r="C34" s="980"/>
      <c r="D34" s="1003">
        <v>3608586</v>
      </c>
      <c r="E34" s="765">
        <v>3642876</v>
      </c>
    </row>
    <row r="35" spans="1:5" s="129" customFormat="1" ht="12" customHeight="1" thickBot="1" x14ac:dyDescent="0.25">
      <c r="A35" s="62" t="s">
        <v>12</v>
      </c>
      <c r="B35" s="43" t="s">
        <v>287</v>
      </c>
      <c r="C35" s="980"/>
      <c r="D35" s="1003"/>
      <c r="E35" s="765"/>
    </row>
    <row r="36" spans="1:5" s="129" customFormat="1" ht="12" customHeight="1" thickBot="1" x14ac:dyDescent="0.25">
      <c r="A36" s="58" t="s">
        <v>13</v>
      </c>
      <c r="B36" s="43" t="s">
        <v>380</v>
      </c>
      <c r="C36" s="1068">
        <v>299251646</v>
      </c>
      <c r="D36" s="972">
        <v>341018672</v>
      </c>
      <c r="E36" s="936">
        <v>328396684</v>
      </c>
    </row>
    <row r="37" spans="1:5" s="129" customFormat="1" ht="12" customHeight="1" thickBot="1" x14ac:dyDescent="0.25">
      <c r="A37" s="68" t="s">
        <v>14</v>
      </c>
      <c r="B37" s="43" t="s">
        <v>289</v>
      </c>
      <c r="C37" s="1068">
        <v>657615940</v>
      </c>
      <c r="D37" s="972">
        <v>668719755</v>
      </c>
      <c r="E37" s="936">
        <v>655898418</v>
      </c>
    </row>
    <row r="38" spans="1:5" s="129" customFormat="1" ht="12" customHeight="1" x14ac:dyDescent="0.2">
      <c r="A38" s="175" t="s">
        <v>290</v>
      </c>
      <c r="B38" s="176" t="s">
        <v>137</v>
      </c>
      <c r="C38" s="1073">
        <v>6030423</v>
      </c>
      <c r="D38" s="998">
        <v>5873512</v>
      </c>
      <c r="E38" s="777">
        <v>5873512</v>
      </c>
    </row>
    <row r="39" spans="1:5" s="129" customFormat="1" ht="12" customHeight="1" x14ac:dyDescent="0.2">
      <c r="A39" s="175" t="s">
        <v>291</v>
      </c>
      <c r="B39" s="177" t="s">
        <v>0</v>
      </c>
      <c r="C39" s="1069"/>
      <c r="D39" s="1001">
        <v>156911</v>
      </c>
      <c r="E39" s="774">
        <v>156911</v>
      </c>
    </row>
    <row r="40" spans="1:5" s="181" customFormat="1" ht="12" customHeight="1" thickBot="1" x14ac:dyDescent="0.25">
      <c r="A40" s="174" t="s">
        <v>292</v>
      </c>
      <c r="B40" s="46" t="s">
        <v>293</v>
      </c>
      <c r="C40" s="1072">
        <v>651585517</v>
      </c>
      <c r="D40" s="1005">
        <v>662689332</v>
      </c>
      <c r="E40" s="784">
        <v>649867995</v>
      </c>
    </row>
    <row r="41" spans="1:5" s="181" customFormat="1" ht="15.2" customHeight="1" thickBot="1" x14ac:dyDescent="0.25">
      <c r="A41" s="68" t="s">
        <v>15</v>
      </c>
      <c r="B41" s="69" t="s">
        <v>294</v>
      </c>
      <c r="C41" s="981">
        <v>956867586</v>
      </c>
      <c r="D41" s="1002">
        <v>1009738427</v>
      </c>
      <c r="E41" s="767">
        <v>984295102</v>
      </c>
    </row>
    <row r="42" spans="1:5" s="181" customFormat="1" ht="15.2" customHeight="1" x14ac:dyDescent="0.2">
      <c r="A42" s="70"/>
      <c r="B42" s="71"/>
      <c r="C42" s="125"/>
    </row>
    <row r="43" spans="1:5" ht="13.5" thickBot="1" x14ac:dyDescent="0.25">
      <c r="A43" s="72"/>
      <c r="B43" s="73"/>
      <c r="C43" s="126"/>
    </row>
    <row r="44" spans="1:5" s="180" customFormat="1" ht="16.5" customHeight="1" thickBot="1" x14ac:dyDescent="0.25">
      <c r="A44" s="1363" t="s">
        <v>40</v>
      </c>
      <c r="B44" s="1364"/>
      <c r="C44" s="1364"/>
      <c r="D44" s="1364"/>
      <c r="E44" s="1365"/>
    </row>
    <row r="45" spans="1:5" s="182" customFormat="1" ht="12" customHeight="1" thickBot="1" x14ac:dyDescent="0.25">
      <c r="A45" s="62" t="s">
        <v>6</v>
      </c>
      <c r="B45" s="43" t="s">
        <v>295</v>
      </c>
      <c r="C45" s="1068">
        <v>941985555</v>
      </c>
      <c r="D45" s="972">
        <v>988338690</v>
      </c>
      <c r="E45" s="936">
        <v>916122561</v>
      </c>
    </row>
    <row r="46" spans="1:5" ht="12" customHeight="1" x14ac:dyDescent="0.2">
      <c r="A46" s="174" t="s">
        <v>63</v>
      </c>
      <c r="B46" s="7" t="s">
        <v>35</v>
      </c>
      <c r="C46" s="1073">
        <v>615034869</v>
      </c>
      <c r="D46" s="998">
        <v>632750820</v>
      </c>
      <c r="E46" s="777">
        <v>587382064</v>
      </c>
    </row>
    <row r="47" spans="1:5" ht="12" customHeight="1" x14ac:dyDescent="0.2">
      <c r="A47" s="174" t="s">
        <v>64</v>
      </c>
      <c r="B47" s="6" t="s">
        <v>109</v>
      </c>
      <c r="C47" s="1067">
        <v>105575946</v>
      </c>
      <c r="D47" s="1071">
        <v>106186451</v>
      </c>
      <c r="E47" s="775">
        <v>99382412</v>
      </c>
    </row>
    <row r="48" spans="1:5" ht="12" customHeight="1" x14ac:dyDescent="0.2">
      <c r="A48" s="174" t="s">
        <v>65</v>
      </c>
      <c r="B48" s="6" t="s">
        <v>83</v>
      </c>
      <c r="C48" s="1067">
        <v>221374740</v>
      </c>
      <c r="D48" s="1071">
        <v>249387297</v>
      </c>
      <c r="E48" s="775">
        <v>229343963</v>
      </c>
    </row>
    <row r="49" spans="1:5" ht="12" customHeight="1" x14ac:dyDescent="0.2">
      <c r="A49" s="174" t="s">
        <v>66</v>
      </c>
      <c r="B49" s="6" t="s">
        <v>110</v>
      </c>
      <c r="C49" s="1067"/>
      <c r="D49" s="1071"/>
      <c r="E49" s="775"/>
    </row>
    <row r="50" spans="1:5" ht="12" customHeight="1" thickBot="1" x14ac:dyDescent="0.25">
      <c r="A50" s="174" t="s">
        <v>84</v>
      </c>
      <c r="B50" s="6" t="s">
        <v>111</v>
      </c>
      <c r="C50" s="1067"/>
      <c r="D50" s="1071">
        <v>14122</v>
      </c>
      <c r="E50" s="775">
        <v>14122</v>
      </c>
    </row>
    <row r="51" spans="1:5" ht="12" customHeight="1" thickBot="1" x14ac:dyDescent="0.25">
      <c r="A51" s="62" t="s">
        <v>7</v>
      </c>
      <c r="B51" s="43" t="s">
        <v>296</v>
      </c>
      <c r="C51" s="1068">
        <v>14882031</v>
      </c>
      <c r="D51" s="972">
        <v>21399737</v>
      </c>
      <c r="E51" s="936">
        <v>14175591</v>
      </c>
    </row>
    <row r="52" spans="1:5" s="182" customFormat="1" ht="12" customHeight="1" x14ac:dyDescent="0.2">
      <c r="A52" s="174" t="s">
        <v>69</v>
      </c>
      <c r="B52" s="7" t="s">
        <v>130</v>
      </c>
      <c r="C52" s="1073">
        <v>14882031</v>
      </c>
      <c r="D52" s="998">
        <v>21399737</v>
      </c>
      <c r="E52" s="777">
        <v>14175591</v>
      </c>
    </row>
    <row r="53" spans="1:5" ht="12" customHeight="1" x14ac:dyDescent="0.2">
      <c r="A53" s="174" t="s">
        <v>70</v>
      </c>
      <c r="B53" s="6" t="s">
        <v>113</v>
      </c>
      <c r="C53" s="1067"/>
      <c r="D53" s="1071"/>
      <c r="E53" s="775"/>
    </row>
    <row r="54" spans="1:5" ht="12" customHeight="1" x14ac:dyDescent="0.2">
      <c r="A54" s="174" t="s">
        <v>71</v>
      </c>
      <c r="B54" s="6" t="s">
        <v>41</v>
      </c>
      <c r="C54" s="1067"/>
      <c r="D54" s="1071"/>
      <c r="E54" s="775"/>
    </row>
    <row r="55" spans="1:5" ht="12" customHeight="1" thickBot="1" x14ac:dyDescent="0.25">
      <c r="A55" s="174" t="s">
        <v>72</v>
      </c>
      <c r="B55" s="6" t="s">
        <v>377</v>
      </c>
      <c r="C55" s="1067"/>
      <c r="D55" s="1071"/>
      <c r="E55" s="775"/>
    </row>
    <row r="56" spans="1:5" ht="15.2" customHeight="1" thickBot="1" x14ac:dyDescent="0.25">
      <c r="A56" s="62" t="s">
        <v>8</v>
      </c>
      <c r="B56" s="43" t="s">
        <v>2</v>
      </c>
      <c r="C56" s="980"/>
      <c r="D56" s="1003"/>
      <c r="E56" s="765"/>
    </row>
    <row r="57" spans="1:5" ht="13.5" thickBot="1" x14ac:dyDescent="0.25">
      <c r="A57" s="62" t="s">
        <v>9</v>
      </c>
      <c r="B57" s="74" t="s">
        <v>381</v>
      </c>
      <c r="C57" s="981">
        <v>956867586</v>
      </c>
      <c r="D57" s="1002">
        <v>1009738427</v>
      </c>
      <c r="E57" s="767">
        <v>930298152</v>
      </c>
    </row>
    <row r="58" spans="1:5" ht="15.2" customHeight="1" thickBot="1" x14ac:dyDescent="0.25">
      <c r="C58" s="493">
        <f>C41-C57</f>
        <v>0</v>
      </c>
      <c r="D58" s="493">
        <f>D41-D57</f>
        <v>0</v>
      </c>
    </row>
    <row r="59" spans="1:5" ht="14.45" customHeight="1" thickBot="1" x14ac:dyDescent="0.25">
      <c r="A59" s="1361" t="s">
        <v>437</v>
      </c>
      <c r="B59" s="1362"/>
      <c r="C59" s="782">
        <v>151</v>
      </c>
      <c r="D59" s="782">
        <v>152</v>
      </c>
      <c r="E59" s="781">
        <v>152</v>
      </c>
    </row>
    <row r="60" spans="1:5" ht="13.5" thickBot="1" x14ac:dyDescent="0.25">
      <c r="A60" s="1361" t="s">
        <v>874</v>
      </c>
      <c r="B60" s="1362"/>
      <c r="C60" s="782">
        <v>2</v>
      </c>
      <c r="D60" s="782">
        <v>2</v>
      </c>
      <c r="E60" s="781">
        <v>2</v>
      </c>
    </row>
    <row r="61" spans="1:5" ht="13.5" thickBot="1" x14ac:dyDescent="0.25">
      <c r="A61" s="1361" t="s">
        <v>875</v>
      </c>
      <c r="B61" s="1362"/>
      <c r="C61" s="782"/>
      <c r="D61" s="782"/>
      <c r="E61" s="781"/>
    </row>
    <row r="62" spans="1:5" ht="13.5" thickBot="1" x14ac:dyDescent="0.25">
      <c r="A62" s="1361" t="s">
        <v>876</v>
      </c>
      <c r="B62" s="1362"/>
      <c r="C62" s="782"/>
      <c r="D62" s="782"/>
      <c r="E62" s="781"/>
    </row>
    <row r="63" spans="1:5" ht="13.5" thickBot="1" x14ac:dyDescent="0.25">
      <c r="A63" s="1361" t="s">
        <v>877</v>
      </c>
      <c r="B63" s="1362"/>
      <c r="C63" s="782">
        <v>50</v>
      </c>
      <c r="D63" s="782">
        <v>50</v>
      </c>
      <c r="E63" s="781">
        <v>51</v>
      </c>
    </row>
    <row r="64" spans="1:5" ht="13.5" thickBot="1" x14ac:dyDescent="0.25">
      <c r="A64" s="1361" t="s">
        <v>438</v>
      </c>
      <c r="B64" s="1362"/>
      <c r="C64" s="754"/>
      <c r="D64" s="754"/>
      <c r="E64" s="753"/>
    </row>
  </sheetData>
  <sheetProtection formatCells="0"/>
  <mergeCells count="12">
    <mergeCell ref="A64:B64"/>
    <mergeCell ref="A59:B59"/>
    <mergeCell ref="A60:B60"/>
    <mergeCell ref="A61:B61"/>
    <mergeCell ref="A62:B62"/>
    <mergeCell ref="A63:B63"/>
    <mergeCell ref="B1:E1"/>
    <mergeCell ref="B2:D2"/>
    <mergeCell ref="B3:D3"/>
    <mergeCell ref="A7:E7"/>
    <mergeCell ref="A44:E44"/>
    <mergeCell ref="A4:E4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zoomScale="120" zoomScaleNormal="120" workbookViewId="0">
      <selection activeCell="D15" sqref="D15"/>
    </sheetView>
  </sheetViews>
  <sheetFormatPr defaultRowHeight="12.75" x14ac:dyDescent="0.2"/>
  <cols>
    <col min="1" max="1" width="13.83203125" style="75" customWidth="1"/>
    <col min="2" max="2" width="54.5" style="76" customWidth="1"/>
    <col min="3" max="5" width="15.83203125" style="76" customWidth="1"/>
    <col min="6" max="6" width="16" style="76" bestFit="1" customWidth="1"/>
    <col min="7" max="16384" width="9.33203125" style="76"/>
  </cols>
  <sheetData>
    <row r="1" spans="1:5" s="66" customFormat="1" ht="16.5" thickBot="1" x14ac:dyDescent="0.3">
      <c r="A1" s="260"/>
      <c r="B1" s="1357" t="str">
        <f>CONCATENATE("13. melléklet ",Z_ALAPADATOK!A7," ",Z_ALAPADATOK!B7," ",Z_ALAPADATOK!C7," ",Z_ALAPADATOK!D7," ",Z_ALAPADATOK!E7," ",Z_ALAPADATOK!F7," ",Z_ALAPADATOK!G7," ",Z_ALAPADATOK!H7)</f>
        <v>13. melléklet a 12 / 2022. ( V.30. ) önkormányzati rendelethez</v>
      </c>
      <c r="C1" s="1358"/>
      <c r="D1" s="1358"/>
      <c r="E1" s="1358"/>
    </row>
    <row r="2" spans="1:5" s="178" customFormat="1" ht="25.5" customHeight="1" thickBot="1" x14ac:dyDescent="0.25">
      <c r="A2" s="261" t="s">
        <v>412</v>
      </c>
      <c r="B2" s="1367" t="str">
        <f>CONCATENATE(Z_ALAPADATOK!B21)</f>
        <v>Tiszavasvári Bölcsőde</v>
      </c>
      <c r="C2" s="1368"/>
      <c r="D2" s="1369"/>
      <c r="E2" s="262" t="s">
        <v>463</v>
      </c>
    </row>
    <row r="3" spans="1:5" s="178" customFormat="1" ht="24.75" thickBot="1" x14ac:dyDescent="0.25">
      <c r="A3" s="261" t="s">
        <v>122</v>
      </c>
      <c r="B3" s="1367" t="s">
        <v>278</v>
      </c>
      <c r="C3" s="1368"/>
      <c r="D3" s="1369"/>
      <c r="E3" s="262" t="s">
        <v>38</v>
      </c>
    </row>
    <row r="4" spans="1:5" s="179" customFormat="1" ht="15.95" customHeight="1" thickBot="1" x14ac:dyDescent="0.3">
      <c r="A4" s="1370" t="str">
        <f>Z_6.1.sz.mell!E4</f>
        <v xml:space="preserve"> Forintban!</v>
      </c>
      <c r="B4" s="1370"/>
      <c r="C4" s="1370"/>
      <c r="D4" s="1370"/>
      <c r="E4" s="1370"/>
    </row>
    <row r="5" spans="1:5" ht="24.75" thickBot="1" x14ac:dyDescent="0.25">
      <c r="A5" s="266" t="s">
        <v>123</v>
      </c>
      <c r="B5" s="267" t="s">
        <v>436</v>
      </c>
      <c r="C5" s="267" t="s">
        <v>410</v>
      </c>
      <c r="D5" s="268" t="s">
        <v>411</v>
      </c>
      <c r="E5" s="251" t="str">
        <f>Z_6.1.sz.mell!E5</f>
        <v>Teljesítés
2021. XII. 31.</v>
      </c>
    </row>
    <row r="6" spans="1:5" s="180" customFormat="1" ht="12.95" customHeight="1" thickBot="1" x14ac:dyDescent="0.25">
      <c r="A6" s="289" t="s">
        <v>354</v>
      </c>
      <c r="B6" s="290" t="s">
        <v>355</v>
      </c>
      <c r="C6" s="290" t="s">
        <v>356</v>
      </c>
      <c r="D6" s="291" t="s">
        <v>358</v>
      </c>
      <c r="E6" s="292" t="s">
        <v>357</v>
      </c>
    </row>
    <row r="7" spans="1:5" s="180" customFormat="1" ht="15.95" customHeight="1" thickBot="1" x14ac:dyDescent="0.25">
      <c r="A7" s="1363" t="s">
        <v>39</v>
      </c>
      <c r="B7" s="1364"/>
      <c r="C7" s="1364"/>
      <c r="D7" s="1364"/>
      <c r="E7" s="1365"/>
    </row>
    <row r="8" spans="1:5" s="129" customFormat="1" ht="12" customHeight="1" thickBot="1" x14ac:dyDescent="0.25">
      <c r="A8" s="58" t="s">
        <v>6</v>
      </c>
      <c r="B8" s="67" t="s">
        <v>373</v>
      </c>
      <c r="C8" s="1068">
        <v>1175672</v>
      </c>
      <c r="D8" s="1068">
        <v>1175672</v>
      </c>
      <c r="E8" s="764">
        <f>SUM(E9:E19)</f>
        <v>902543</v>
      </c>
    </row>
    <row r="9" spans="1:5" s="129" customFormat="1" ht="12" customHeight="1" x14ac:dyDescent="0.2">
      <c r="A9" s="173" t="s">
        <v>63</v>
      </c>
      <c r="B9" s="8" t="s">
        <v>167</v>
      </c>
      <c r="C9" s="974"/>
      <c r="D9" s="974"/>
      <c r="E9" s="783"/>
    </row>
    <row r="10" spans="1:5" s="129" customFormat="1" ht="12" customHeight="1" x14ac:dyDescent="0.2">
      <c r="A10" s="174" t="s">
        <v>64</v>
      </c>
      <c r="B10" s="6" t="s">
        <v>168</v>
      </c>
      <c r="C10" s="957"/>
      <c r="D10" s="999"/>
      <c r="E10" s="772"/>
    </row>
    <row r="11" spans="1:5" s="129" customFormat="1" ht="12" customHeight="1" x14ac:dyDescent="0.2">
      <c r="A11" s="174" t="s">
        <v>65</v>
      </c>
      <c r="B11" s="6" t="s">
        <v>169</v>
      </c>
      <c r="C11" s="957"/>
      <c r="D11" s="999"/>
      <c r="E11" s="772"/>
    </row>
    <row r="12" spans="1:5" s="129" customFormat="1" ht="12" customHeight="1" x14ac:dyDescent="0.2">
      <c r="A12" s="174" t="s">
        <v>66</v>
      </c>
      <c r="B12" s="6" t="s">
        <v>170</v>
      </c>
      <c r="C12" s="957"/>
      <c r="D12" s="999"/>
      <c r="E12" s="772"/>
    </row>
    <row r="13" spans="1:5" s="129" customFormat="1" ht="12" customHeight="1" x14ac:dyDescent="0.2">
      <c r="A13" s="174" t="s">
        <v>84</v>
      </c>
      <c r="B13" s="6" t="s">
        <v>171</v>
      </c>
      <c r="C13" s="957">
        <v>1175672</v>
      </c>
      <c r="D13" s="999">
        <v>1175672</v>
      </c>
      <c r="E13" s="772">
        <v>897413</v>
      </c>
    </row>
    <row r="14" spans="1:5" s="129" customFormat="1" ht="12" customHeight="1" x14ac:dyDescent="0.2">
      <c r="A14" s="174" t="s">
        <v>67</v>
      </c>
      <c r="B14" s="6" t="s">
        <v>279</v>
      </c>
      <c r="C14" s="760"/>
      <c r="D14" s="999"/>
      <c r="E14" s="772">
        <v>756</v>
      </c>
    </row>
    <row r="15" spans="1:5" s="129" customFormat="1" ht="12" customHeight="1" x14ac:dyDescent="0.2">
      <c r="A15" s="174" t="s">
        <v>68</v>
      </c>
      <c r="B15" s="5" t="s">
        <v>280</v>
      </c>
      <c r="C15" s="760"/>
      <c r="D15" s="768"/>
      <c r="E15" s="772"/>
    </row>
    <row r="16" spans="1:5" s="129" customFormat="1" ht="12" customHeight="1" x14ac:dyDescent="0.2">
      <c r="A16" s="174" t="s">
        <v>75</v>
      </c>
      <c r="B16" s="6" t="s">
        <v>174</v>
      </c>
      <c r="C16" s="778"/>
      <c r="D16" s="787"/>
      <c r="E16" s="776"/>
    </row>
    <row r="17" spans="1:6" s="181" customFormat="1" ht="12" customHeight="1" x14ac:dyDescent="0.2">
      <c r="A17" s="174" t="s">
        <v>76</v>
      </c>
      <c r="B17" s="6" t="s">
        <v>175</v>
      </c>
      <c r="C17" s="760"/>
      <c r="D17" s="768"/>
      <c r="E17" s="772"/>
      <c r="F17" s="129"/>
    </row>
    <row r="18" spans="1:6" s="181" customFormat="1" ht="12" customHeight="1" x14ac:dyDescent="0.2">
      <c r="A18" s="174" t="s">
        <v>77</v>
      </c>
      <c r="B18" s="6" t="s">
        <v>310</v>
      </c>
      <c r="C18" s="761"/>
      <c r="D18" s="769"/>
      <c r="E18" s="773"/>
      <c r="F18" s="129"/>
    </row>
    <row r="19" spans="1:6" s="181" customFormat="1" ht="12" customHeight="1" thickBot="1" x14ac:dyDescent="0.25">
      <c r="A19" s="174" t="s">
        <v>78</v>
      </c>
      <c r="B19" s="5" t="s">
        <v>176</v>
      </c>
      <c r="C19" s="761"/>
      <c r="D19" s="769"/>
      <c r="E19" s="773">
        <v>4374</v>
      </c>
      <c r="F19" s="129"/>
    </row>
    <row r="20" spans="1:6" s="129" customFormat="1" ht="12" customHeight="1" thickBot="1" x14ac:dyDescent="0.25">
      <c r="A20" s="58" t="s">
        <v>7</v>
      </c>
      <c r="B20" s="67" t="s">
        <v>281</v>
      </c>
      <c r="C20" s="762">
        <v>0</v>
      </c>
      <c r="D20" s="770">
        <v>0</v>
      </c>
      <c r="E20" s="766">
        <f>SUM(E21:E23)</f>
        <v>0</v>
      </c>
    </row>
    <row r="21" spans="1:6" s="181" customFormat="1" ht="12" customHeight="1" x14ac:dyDescent="0.2">
      <c r="A21" s="174" t="s">
        <v>69</v>
      </c>
      <c r="B21" s="7" t="s">
        <v>152</v>
      </c>
      <c r="C21" s="760"/>
      <c r="D21" s="768"/>
      <c r="E21" s="772"/>
      <c r="F21" s="129"/>
    </row>
    <row r="22" spans="1:6" s="181" customFormat="1" ht="12" customHeight="1" x14ac:dyDescent="0.2">
      <c r="A22" s="174" t="s">
        <v>70</v>
      </c>
      <c r="B22" s="6" t="s">
        <v>282</v>
      </c>
      <c r="C22" s="760"/>
      <c r="D22" s="768"/>
      <c r="E22" s="772"/>
      <c r="F22" s="129"/>
    </row>
    <row r="23" spans="1:6" s="181" customFormat="1" ht="12" customHeight="1" x14ac:dyDescent="0.2">
      <c r="A23" s="174" t="s">
        <v>71</v>
      </c>
      <c r="B23" s="6" t="s">
        <v>283</v>
      </c>
      <c r="C23" s="760"/>
      <c r="D23" s="768"/>
      <c r="E23" s="772"/>
      <c r="F23" s="129"/>
    </row>
    <row r="24" spans="1:6" s="181" customFormat="1" ht="12" customHeight="1" thickBot="1" x14ac:dyDescent="0.25">
      <c r="A24" s="174" t="s">
        <v>72</v>
      </c>
      <c r="B24" s="6" t="s">
        <v>378</v>
      </c>
      <c r="C24" s="760"/>
      <c r="D24" s="768"/>
      <c r="E24" s="772"/>
      <c r="F24" s="129"/>
    </row>
    <row r="25" spans="1:6" s="181" customFormat="1" ht="12" customHeight="1" thickBot="1" x14ac:dyDescent="0.25">
      <c r="A25" s="62" t="s">
        <v>8</v>
      </c>
      <c r="B25" s="43" t="s">
        <v>100</v>
      </c>
      <c r="C25" s="785"/>
      <c r="D25" s="786"/>
      <c r="E25" s="765"/>
      <c r="F25" s="129"/>
    </row>
    <row r="26" spans="1:6" s="181" customFormat="1" ht="12" customHeight="1" thickBot="1" x14ac:dyDescent="0.25">
      <c r="A26" s="62" t="s">
        <v>9</v>
      </c>
      <c r="B26" s="43" t="s">
        <v>284</v>
      </c>
      <c r="C26" s="762"/>
      <c r="D26" s="770"/>
      <c r="E26" s="766">
        <f>SUM(E27:E28)</f>
        <v>0</v>
      </c>
      <c r="F26" s="129"/>
    </row>
    <row r="27" spans="1:6" s="181" customFormat="1" ht="12" customHeight="1" x14ac:dyDescent="0.2">
      <c r="A27" s="175" t="s">
        <v>161</v>
      </c>
      <c r="B27" s="176" t="s">
        <v>282</v>
      </c>
      <c r="C27" s="779"/>
      <c r="D27" s="759"/>
      <c r="E27" s="777"/>
      <c r="F27" s="129"/>
    </row>
    <row r="28" spans="1:6" s="181" customFormat="1" ht="22.5" x14ac:dyDescent="0.2">
      <c r="A28" s="175" t="s">
        <v>162</v>
      </c>
      <c r="B28" s="177" t="s">
        <v>285</v>
      </c>
      <c r="C28" s="763"/>
      <c r="D28" s="771"/>
      <c r="E28" s="774"/>
      <c r="F28" s="129"/>
    </row>
    <row r="29" spans="1:6" s="181" customFormat="1" ht="12" customHeight="1" thickBot="1" x14ac:dyDescent="0.25">
      <c r="A29" s="174" t="s">
        <v>163</v>
      </c>
      <c r="B29" s="46" t="s">
        <v>379</v>
      </c>
      <c r="C29" s="758"/>
      <c r="D29" s="788"/>
      <c r="E29" s="784"/>
      <c r="F29" s="129"/>
    </row>
    <row r="30" spans="1:6" s="181" customFormat="1" ht="12" customHeight="1" thickBot="1" x14ac:dyDescent="0.25">
      <c r="A30" s="62" t="s">
        <v>10</v>
      </c>
      <c r="B30" s="43" t="s">
        <v>286</v>
      </c>
      <c r="C30" s="762"/>
      <c r="D30" s="770"/>
      <c r="E30" s="766">
        <f>SUM(E31:E33)</f>
        <v>0</v>
      </c>
      <c r="F30" s="129"/>
    </row>
    <row r="31" spans="1:6" s="181" customFormat="1" ht="12" customHeight="1" x14ac:dyDescent="0.2">
      <c r="A31" s="175" t="s">
        <v>56</v>
      </c>
      <c r="B31" s="176" t="s">
        <v>181</v>
      </c>
      <c r="C31" s="779"/>
      <c r="D31" s="759"/>
      <c r="E31" s="777"/>
      <c r="F31" s="129"/>
    </row>
    <row r="32" spans="1:6" s="181" customFormat="1" ht="12" customHeight="1" x14ac:dyDescent="0.2">
      <c r="A32" s="175" t="s">
        <v>57</v>
      </c>
      <c r="B32" s="177" t="s">
        <v>182</v>
      </c>
      <c r="C32" s="763"/>
      <c r="D32" s="771"/>
      <c r="E32" s="774"/>
      <c r="F32" s="129"/>
    </row>
    <row r="33" spans="1:6" s="181" customFormat="1" ht="12" customHeight="1" thickBot="1" x14ac:dyDescent="0.25">
      <c r="A33" s="174" t="s">
        <v>58</v>
      </c>
      <c r="B33" s="46" t="s">
        <v>183</v>
      </c>
      <c r="C33" s="758"/>
      <c r="D33" s="788"/>
      <c r="E33" s="784"/>
      <c r="F33" s="129"/>
    </row>
    <row r="34" spans="1:6" s="129" customFormat="1" ht="12" customHeight="1" thickBot="1" x14ac:dyDescent="0.25">
      <c r="A34" s="62" t="s">
        <v>11</v>
      </c>
      <c r="B34" s="43" t="s">
        <v>265</v>
      </c>
      <c r="C34" s="785"/>
      <c r="D34" s="786"/>
      <c r="E34" s="765"/>
    </row>
    <row r="35" spans="1:6" s="129" customFormat="1" ht="12" customHeight="1" thickBot="1" x14ac:dyDescent="0.25">
      <c r="A35" s="62" t="s">
        <v>12</v>
      </c>
      <c r="B35" s="43" t="s">
        <v>287</v>
      </c>
      <c r="C35" s="785"/>
      <c r="D35" s="1003">
        <v>250000</v>
      </c>
      <c r="E35" s="765">
        <v>250000</v>
      </c>
    </row>
    <row r="36" spans="1:6" s="129" customFormat="1" ht="12" customHeight="1" thickBot="1" x14ac:dyDescent="0.25">
      <c r="A36" s="58" t="s">
        <v>13</v>
      </c>
      <c r="B36" s="43" t="s">
        <v>380</v>
      </c>
      <c r="C36" s="1068">
        <v>1175672</v>
      </c>
      <c r="D36" s="972">
        <v>1425672</v>
      </c>
      <c r="E36" s="766">
        <f>E35+E34+E30+E26+E25+E20+E8</f>
        <v>1152543</v>
      </c>
    </row>
    <row r="37" spans="1:6" s="129" customFormat="1" ht="12" customHeight="1" thickBot="1" x14ac:dyDescent="0.25">
      <c r="A37" s="68" t="s">
        <v>14</v>
      </c>
      <c r="B37" s="43" t="s">
        <v>289</v>
      </c>
      <c r="C37" s="1068">
        <v>110350626</v>
      </c>
      <c r="D37" s="972">
        <v>118597072</v>
      </c>
      <c r="E37" s="766">
        <f>SUM(E38:E40)</f>
        <v>116272462</v>
      </c>
    </row>
    <row r="38" spans="1:6" s="129" customFormat="1" ht="12" customHeight="1" x14ac:dyDescent="0.2">
      <c r="A38" s="175" t="s">
        <v>290</v>
      </c>
      <c r="B38" s="176" t="s">
        <v>137</v>
      </c>
      <c r="C38" s="1073">
        <v>284491</v>
      </c>
      <c r="D38" s="998">
        <v>284491</v>
      </c>
      <c r="E38" s="777">
        <v>284491</v>
      </c>
    </row>
    <row r="39" spans="1:6" s="129" customFormat="1" ht="12" customHeight="1" x14ac:dyDescent="0.2">
      <c r="A39" s="175" t="s">
        <v>291</v>
      </c>
      <c r="B39" s="177" t="s">
        <v>0</v>
      </c>
      <c r="C39" s="1069"/>
      <c r="D39" s="1001"/>
      <c r="E39" s="774"/>
    </row>
    <row r="40" spans="1:6" s="181" customFormat="1" ht="12" customHeight="1" thickBot="1" x14ac:dyDescent="0.25">
      <c r="A40" s="174" t="s">
        <v>292</v>
      </c>
      <c r="B40" s="46" t="s">
        <v>293</v>
      </c>
      <c r="C40" s="1072">
        <v>110066135</v>
      </c>
      <c r="D40" s="1005">
        <v>118312581</v>
      </c>
      <c r="E40" s="784">
        <v>115987971</v>
      </c>
      <c r="F40" s="129"/>
    </row>
    <row r="41" spans="1:6" s="181" customFormat="1" ht="15.2" customHeight="1" thickBot="1" x14ac:dyDescent="0.25">
      <c r="A41" s="68" t="s">
        <v>15</v>
      </c>
      <c r="B41" s="69" t="s">
        <v>294</v>
      </c>
      <c r="C41" s="981">
        <v>111526298</v>
      </c>
      <c r="D41" s="1002">
        <v>120022744</v>
      </c>
      <c r="E41" s="767">
        <f>E37+E36</f>
        <v>117425005</v>
      </c>
      <c r="F41" s="129"/>
    </row>
    <row r="42" spans="1:6" s="181" customFormat="1" ht="15.2" customHeight="1" x14ac:dyDescent="0.2">
      <c r="A42" s="70"/>
      <c r="B42" s="71"/>
      <c r="C42" s="125"/>
      <c r="D42" s="1070"/>
      <c r="F42" s="129"/>
    </row>
    <row r="43" spans="1:6" ht="15.75" thickBot="1" x14ac:dyDescent="0.25">
      <c r="A43" s="72"/>
      <c r="B43" s="73"/>
      <c r="C43" s="126"/>
      <c r="F43" s="129"/>
    </row>
    <row r="44" spans="1:6" s="180" customFormat="1" ht="16.5" customHeight="1" thickBot="1" x14ac:dyDescent="0.25">
      <c r="A44" s="1363" t="s">
        <v>40</v>
      </c>
      <c r="B44" s="1364"/>
      <c r="C44" s="1364"/>
      <c r="D44" s="1364"/>
      <c r="E44" s="1365"/>
      <c r="F44" s="129"/>
    </row>
    <row r="45" spans="1:6" s="182" customFormat="1" ht="12" customHeight="1" thickBot="1" x14ac:dyDescent="0.25">
      <c r="A45" s="62" t="s">
        <v>6</v>
      </c>
      <c r="B45" s="43" t="s">
        <v>295</v>
      </c>
      <c r="C45" s="1068">
        <v>111501298</v>
      </c>
      <c r="D45" s="972">
        <v>116656944</v>
      </c>
      <c r="E45" s="766">
        <f>SUM(E46:E50)</f>
        <v>114057868</v>
      </c>
      <c r="F45" s="129"/>
    </row>
    <row r="46" spans="1:6" ht="12" customHeight="1" x14ac:dyDescent="0.2">
      <c r="A46" s="174" t="s">
        <v>63</v>
      </c>
      <c r="B46" s="7" t="s">
        <v>35</v>
      </c>
      <c r="C46" s="1073">
        <v>82248525</v>
      </c>
      <c r="D46" s="998">
        <v>85910697</v>
      </c>
      <c r="E46" s="777">
        <v>85468215</v>
      </c>
      <c r="F46" s="129"/>
    </row>
    <row r="47" spans="1:6" ht="12" customHeight="1" x14ac:dyDescent="0.2">
      <c r="A47" s="174" t="s">
        <v>64</v>
      </c>
      <c r="B47" s="6" t="s">
        <v>109</v>
      </c>
      <c r="C47" s="1067">
        <v>13031917</v>
      </c>
      <c r="D47" s="1071">
        <v>13544993</v>
      </c>
      <c r="E47" s="775">
        <v>13283374</v>
      </c>
      <c r="F47" s="129"/>
    </row>
    <row r="48" spans="1:6" ht="12" customHeight="1" x14ac:dyDescent="0.2">
      <c r="A48" s="174" t="s">
        <v>65</v>
      </c>
      <c r="B48" s="6" t="s">
        <v>83</v>
      </c>
      <c r="C48" s="1067">
        <v>16220856</v>
      </c>
      <c r="D48" s="1071">
        <v>17201254</v>
      </c>
      <c r="E48" s="775">
        <v>15306279</v>
      </c>
      <c r="F48" s="129"/>
    </row>
    <row r="49" spans="1:6" ht="12" customHeight="1" x14ac:dyDescent="0.2">
      <c r="A49" s="174" t="s">
        <v>66</v>
      </c>
      <c r="B49" s="6" t="s">
        <v>110</v>
      </c>
      <c r="C49" s="1067"/>
      <c r="D49" s="1071"/>
      <c r="E49" s="775"/>
      <c r="F49" s="129"/>
    </row>
    <row r="50" spans="1:6" ht="12" customHeight="1" thickBot="1" x14ac:dyDescent="0.25">
      <c r="A50" s="174" t="s">
        <v>84</v>
      </c>
      <c r="B50" s="6" t="s">
        <v>111</v>
      </c>
      <c r="C50" s="1067"/>
      <c r="D50" s="1071"/>
      <c r="E50" s="775"/>
      <c r="F50" s="129"/>
    </row>
    <row r="51" spans="1:6" ht="12" customHeight="1" thickBot="1" x14ac:dyDescent="0.25">
      <c r="A51" s="62" t="s">
        <v>7</v>
      </c>
      <c r="B51" s="43" t="s">
        <v>296</v>
      </c>
      <c r="C51" s="1068">
        <v>25000</v>
      </c>
      <c r="D51" s="972">
        <v>3365800</v>
      </c>
      <c r="E51" s="766">
        <f>SUM(E52:E55)</f>
        <v>3284412</v>
      </c>
      <c r="F51" s="129"/>
    </row>
    <row r="52" spans="1:6" s="182" customFormat="1" ht="12" customHeight="1" x14ac:dyDescent="0.2">
      <c r="A52" s="174" t="s">
        <v>69</v>
      </c>
      <c r="B52" s="7" t="s">
        <v>130</v>
      </c>
      <c r="C52" s="1073">
        <v>25000</v>
      </c>
      <c r="D52" s="998">
        <v>3365800</v>
      </c>
      <c r="E52" s="777">
        <v>3284412</v>
      </c>
      <c r="F52" s="129"/>
    </row>
    <row r="53" spans="1:6" ht="12" customHeight="1" x14ac:dyDescent="0.2">
      <c r="A53" s="174" t="s">
        <v>70</v>
      </c>
      <c r="B53" s="6" t="s">
        <v>113</v>
      </c>
      <c r="C53" s="1067"/>
      <c r="D53" s="1071"/>
      <c r="E53" s="775"/>
      <c r="F53" s="129"/>
    </row>
    <row r="54" spans="1:6" ht="12" customHeight="1" x14ac:dyDescent="0.2">
      <c r="A54" s="174" t="s">
        <v>71</v>
      </c>
      <c r="B54" s="6" t="s">
        <v>41</v>
      </c>
      <c r="C54" s="1067"/>
      <c r="D54" s="1071"/>
      <c r="E54" s="775"/>
      <c r="F54" s="129"/>
    </row>
    <row r="55" spans="1:6" ht="12" customHeight="1" thickBot="1" x14ac:dyDescent="0.25">
      <c r="A55" s="174" t="s">
        <v>72</v>
      </c>
      <c r="B55" s="6" t="s">
        <v>377</v>
      </c>
      <c r="C55" s="1067"/>
      <c r="D55" s="1071"/>
      <c r="E55" s="775"/>
      <c r="F55" s="129"/>
    </row>
    <row r="56" spans="1:6" ht="15.2" customHeight="1" thickBot="1" x14ac:dyDescent="0.25">
      <c r="A56" s="62" t="s">
        <v>8</v>
      </c>
      <c r="B56" s="43" t="s">
        <v>2</v>
      </c>
      <c r="C56" s="980"/>
      <c r="D56" s="1003"/>
      <c r="E56" s="765"/>
      <c r="F56" s="129"/>
    </row>
    <row r="57" spans="1:6" ht="15.75" thickBot="1" x14ac:dyDescent="0.25">
      <c r="A57" s="62" t="s">
        <v>9</v>
      </c>
      <c r="B57" s="74" t="s">
        <v>381</v>
      </c>
      <c r="C57" s="981">
        <v>111526298</v>
      </c>
      <c r="D57" s="1002">
        <v>120022744</v>
      </c>
      <c r="E57" s="767">
        <f>E56+E51+E45</f>
        <v>117342280</v>
      </c>
      <c r="F57" s="129"/>
    </row>
    <row r="58" spans="1:6" ht="15.2" customHeight="1" thickBot="1" x14ac:dyDescent="0.25">
      <c r="C58" s="493">
        <f>C41-C57</f>
        <v>0</v>
      </c>
      <c r="D58" s="493">
        <f>D41-D57</f>
        <v>0</v>
      </c>
      <c r="F58" s="129"/>
    </row>
    <row r="59" spans="1:6" ht="14.45" customHeight="1" thickBot="1" x14ac:dyDescent="0.25">
      <c r="A59" s="1361" t="s">
        <v>437</v>
      </c>
      <c r="B59" s="1362"/>
      <c r="C59" s="782">
        <v>21</v>
      </c>
      <c r="D59" s="782">
        <v>21</v>
      </c>
      <c r="E59" s="781">
        <v>20</v>
      </c>
    </row>
    <row r="60" spans="1:6" ht="13.5" thickBot="1" x14ac:dyDescent="0.25">
      <c r="A60" s="1361" t="s">
        <v>438</v>
      </c>
      <c r="B60" s="1362"/>
      <c r="C60" s="782"/>
      <c r="D60" s="782"/>
      <c r="E60" s="781"/>
    </row>
  </sheetData>
  <sheetProtection formatCells="0"/>
  <mergeCells count="8">
    <mergeCell ref="A59:B59"/>
    <mergeCell ref="A60:B60"/>
    <mergeCell ref="B1:E1"/>
    <mergeCell ref="B2:D2"/>
    <mergeCell ref="B3:D3"/>
    <mergeCell ref="A7:E7"/>
    <mergeCell ref="A44:E44"/>
    <mergeCell ref="A4:E4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6"/>
  <dimension ref="A1:G15"/>
  <sheetViews>
    <sheetView zoomScale="120" zoomScaleNormal="120" workbookViewId="0">
      <selection activeCell="G12" sqref="G12"/>
    </sheetView>
  </sheetViews>
  <sheetFormatPr defaultRowHeight="12.75" x14ac:dyDescent="0.2"/>
  <cols>
    <col min="1" max="1" width="7" style="506" customWidth="1"/>
    <col min="2" max="2" width="32" style="76" customWidth="1"/>
    <col min="3" max="3" width="12.5" style="76" customWidth="1"/>
    <col min="4" max="6" width="11.83203125" style="76" customWidth="1"/>
    <col min="7" max="7" width="12.83203125" style="76" customWidth="1"/>
    <col min="8" max="16384" width="9.33203125" style="76"/>
  </cols>
  <sheetData>
    <row r="1" spans="1:7" ht="18.75" customHeight="1" x14ac:dyDescent="0.2">
      <c r="A1" s="1375" t="str">
        <f>CONCATENATE("14. melléklet ",Z_ALAPADATOK!A7," ",Z_ALAPADATOK!B7," ",Z_ALAPADATOK!C7," ",Z_ALAPADATOK!D7," ",Z_ALAPADATOK!E7," ",Z_ALAPADATOK!F7," ",Z_ALAPADATOK!G7," ",Z_ALAPADATOK!H7)</f>
        <v>14. melléklet a 12 / 2022. ( V.30. ) önkormányzati rendelethez</v>
      </c>
      <c r="B1" s="1376"/>
      <c r="C1" s="1376"/>
      <c r="D1" s="1376"/>
      <c r="E1" s="1376"/>
      <c r="F1" s="1376"/>
      <c r="G1" s="1376"/>
    </row>
    <row r="3" spans="1:7" ht="15.75" x14ac:dyDescent="0.2">
      <c r="A3" s="1373" t="s">
        <v>739</v>
      </c>
      <c r="B3" s="1374"/>
      <c r="C3" s="1374"/>
      <c r="D3" s="1374"/>
      <c r="E3" s="1374"/>
      <c r="F3" s="1374"/>
      <c r="G3" s="1374"/>
    </row>
    <row r="5" spans="1:7" ht="13.5" customHeight="1" thickBot="1" x14ac:dyDescent="0.25">
      <c r="A5" s="1383" t="s">
        <v>743</v>
      </c>
      <c r="B5" s="1383"/>
      <c r="C5" s="1383"/>
      <c r="D5" s="1383"/>
      <c r="E5" s="1383"/>
      <c r="F5" s="1383"/>
      <c r="G5" s="1383"/>
    </row>
    <row r="6" spans="1:7" ht="17.25" customHeight="1" thickBot="1" x14ac:dyDescent="0.25">
      <c r="A6" s="1377" t="s">
        <v>4</v>
      </c>
      <c r="B6" s="1379" t="s">
        <v>731</v>
      </c>
      <c r="C6" s="1379" t="s">
        <v>732</v>
      </c>
      <c r="D6" s="1379" t="s">
        <v>733</v>
      </c>
      <c r="E6" s="1381" t="s">
        <v>734</v>
      </c>
      <c r="F6" s="1381"/>
      <c r="G6" s="1382"/>
    </row>
    <row r="7" spans="1:7" s="509" customFormat="1" ht="57.75" customHeight="1" thickBot="1" x14ac:dyDescent="0.25">
      <c r="A7" s="1378"/>
      <c r="B7" s="1380"/>
      <c r="C7" s="1380"/>
      <c r="D7" s="1380"/>
      <c r="E7" s="507" t="s">
        <v>735</v>
      </c>
      <c r="F7" s="507" t="s">
        <v>736</v>
      </c>
      <c r="G7" s="508" t="s">
        <v>737</v>
      </c>
    </row>
    <row r="8" spans="1:7" s="182" customFormat="1" ht="15" customHeight="1" thickBot="1" x14ac:dyDescent="0.25">
      <c r="A8" s="58" t="s">
        <v>354</v>
      </c>
      <c r="B8" s="59" t="s">
        <v>355</v>
      </c>
      <c r="C8" s="59" t="s">
        <v>356</v>
      </c>
      <c r="D8" s="59" t="s">
        <v>358</v>
      </c>
      <c r="E8" s="59" t="s">
        <v>738</v>
      </c>
      <c r="F8" s="59" t="s">
        <v>359</v>
      </c>
      <c r="G8" s="60" t="s">
        <v>360</v>
      </c>
    </row>
    <row r="9" spans="1:7" ht="15" customHeight="1" x14ac:dyDescent="0.2">
      <c r="A9" s="511" t="s">
        <v>6</v>
      </c>
      <c r="B9" s="564" t="s">
        <v>751</v>
      </c>
      <c r="C9" s="757">
        <v>127382</v>
      </c>
      <c r="D9" s="757"/>
      <c r="E9" s="983">
        <f t="shared" ref="E9:E12" si="0">C9-D9</f>
        <v>127382</v>
      </c>
      <c r="F9" s="757">
        <v>127382</v>
      </c>
      <c r="G9" s="789"/>
    </row>
    <row r="10" spans="1:7" ht="22.5" x14ac:dyDescent="0.2">
      <c r="A10" s="511" t="s">
        <v>7</v>
      </c>
      <c r="B10" s="564" t="s">
        <v>752</v>
      </c>
      <c r="C10" s="757">
        <v>1498662</v>
      </c>
      <c r="D10" s="757"/>
      <c r="E10" s="983">
        <f t="shared" si="0"/>
        <v>1498662</v>
      </c>
      <c r="F10" s="757">
        <v>1498662</v>
      </c>
      <c r="G10" s="789"/>
    </row>
    <row r="11" spans="1:7" ht="22.5" x14ac:dyDescent="0.2">
      <c r="A11" s="511" t="s">
        <v>8</v>
      </c>
      <c r="B11" s="564" t="s">
        <v>753</v>
      </c>
      <c r="C11" s="757">
        <v>53996950</v>
      </c>
      <c r="D11" s="757"/>
      <c r="E11" s="983">
        <f t="shared" si="0"/>
        <v>53996950</v>
      </c>
      <c r="F11" s="757">
        <v>52943150</v>
      </c>
      <c r="G11" s="789">
        <v>1053800</v>
      </c>
    </row>
    <row r="12" spans="1:7" ht="15" customHeight="1" x14ac:dyDescent="0.2">
      <c r="A12" s="511" t="s">
        <v>9</v>
      </c>
      <c r="B12" s="564" t="s">
        <v>754</v>
      </c>
      <c r="C12" s="757">
        <v>82725</v>
      </c>
      <c r="D12" s="757"/>
      <c r="E12" s="983">
        <f t="shared" si="0"/>
        <v>82725</v>
      </c>
      <c r="F12" s="757">
        <v>82725</v>
      </c>
      <c r="G12" s="789"/>
    </row>
    <row r="13" spans="1:7" ht="15" customHeight="1" x14ac:dyDescent="0.2">
      <c r="A13" s="511" t="s">
        <v>10</v>
      </c>
      <c r="B13" s="564" t="s">
        <v>749</v>
      </c>
      <c r="C13" s="14">
        <v>383395</v>
      </c>
      <c r="D13" s="14"/>
      <c r="E13" s="510">
        <f t="shared" ref="E13:E14" si="1">C13-D13</f>
        <v>383395</v>
      </c>
      <c r="F13" s="14">
        <v>383395</v>
      </c>
      <c r="G13" s="332"/>
    </row>
    <row r="14" spans="1:7" ht="15" customHeight="1" thickBot="1" x14ac:dyDescent="0.25">
      <c r="A14" s="511" t="s">
        <v>11</v>
      </c>
      <c r="B14" s="564" t="s">
        <v>845</v>
      </c>
      <c r="C14" s="14">
        <v>2381931880</v>
      </c>
      <c r="D14" s="14"/>
      <c r="E14" s="510">
        <f t="shared" si="1"/>
        <v>2381931880</v>
      </c>
      <c r="F14" s="14">
        <v>135684486</v>
      </c>
      <c r="G14" s="332">
        <v>2246247394</v>
      </c>
    </row>
    <row r="15" spans="1:7" ht="15" customHeight="1" thickBot="1" x14ac:dyDescent="0.25">
      <c r="A15" s="1371" t="s">
        <v>37</v>
      </c>
      <c r="B15" s="1372"/>
      <c r="C15" s="27">
        <f>SUM(C9:C14)</f>
        <v>2438020994</v>
      </c>
      <c r="D15" s="27">
        <f>SUM(D9:D14)</f>
        <v>0</v>
      </c>
      <c r="E15" s="27">
        <f>SUM(E9:E14)</f>
        <v>2438020994</v>
      </c>
      <c r="F15" s="27">
        <f>SUM(F9:F14)</f>
        <v>190719800</v>
      </c>
      <c r="G15" s="28">
        <f>SUM(G9:G14)</f>
        <v>2247301194</v>
      </c>
    </row>
  </sheetData>
  <mergeCells count="9">
    <mergeCell ref="A15:B15"/>
    <mergeCell ref="A3:G3"/>
    <mergeCell ref="A1:G1"/>
    <mergeCell ref="A6:A7"/>
    <mergeCell ref="B6:B7"/>
    <mergeCell ref="C6:C7"/>
    <mergeCell ref="D6:D7"/>
    <mergeCell ref="E6:G6"/>
    <mergeCell ref="A5:G5"/>
  </mergeCells>
  <printOptions horizontalCentered="1"/>
  <pageMargins left="0.78740157480314965" right="0.78740157480314965" top="1.5748031496062993" bottom="0.98425196850393704" header="0.78740157480314965" footer="0.78740157480314965"/>
  <pageSetup paperSize="9" scale="95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7">
    <pageSetUpPr fitToPage="1"/>
  </sheetPr>
  <dimension ref="A1:F51"/>
  <sheetViews>
    <sheetView zoomScale="120" zoomScaleNormal="120" zoomScalePageLayoutView="120" workbookViewId="0">
      <selection activeCell="C9" sqref="C9"/>
    </sheetView>
  </sheetViews>
  <sheetFormatPr defaultRowHeight="12.75" x14ac:dyDescent="0.2"/>
  <cols>
    <col min="1" max="1" width="9.1640625" style="23" bestFit="1" customWidth="1"/>
    <col min="2" max="2" width="14.33203125" style="1074" bestFit="1" customWidth="1"/>
    <col min="3" max="3" width="88.6640625" style="23" customWidth="1"/>
    <col min="4" max="5" width="24" style="23" bestFit="1" customWidth="1"/>
    <col min="6" max="6" width="4.83203125" style="505" customWidth="1"/>
    <col min="7" max="16384" width="9.33203125" style="23"/>
  </cols>
  <sheetData>
    <row r="1" spans="1:6" ht="47.25" customHeight="1" x14ac:dyDescent="0.2">
      <c r="A1" s="1386" t="str">
        <f>CONCATENATE(Z_ALAPADATOK!B1,". évi általános működés és ágazati feladatok támogatásának alakulása jogcímenként")</f>
        <v>2021. évi általános működés és ágazati feladatok támogatásának alakulása jogcímenként</v>
      </c>
      <c r="B1" s="1386"/>
      <c r="C1" s="1386"/>
      <c r="D1" s="1386"/>
      <c r="E1" s="1386"/>
      <c r="F1" s="1384" t="str">
        <f>CONCATENATE("15. melléklet ",Z_ALAPADATOK!A7," ",Z_ALAPADATOK!B7," ",Z_ALAPADATOK!C7," ",Z_ALAPADATOK!D7," ",Z_ALAPADATOK!E7," ",Z_ALAPADATOK!F7," ",Z_ALAPADATOK!G7," ",Z_ALAPADATOK!H7)</f>
        <v>15. melléklet a 12 / 2022. ( V.30. ) önkormányzati rendelethez</v>
      </c>
    </row>
    <row r="2" spans="1:6" ht="22.5" customHeight="1" thickBot="1" x14ac:dyDescent="0.3">
      <c r="A2" s="1385" t="s">
        <v>729</v>
      </c>
      <c r="B2" s="1385"/>
      <c r="C2" s="1385"/>
      <c r="D2" s="1385"/>
      <c r="E2" s="1385"/>
      <c r="F2" s="1384"/>
    </row>
    <row r="3" spans="1:6" s="24" customFormat="1" ht="24.75" thickBot="1" x14ac:dyDescent="0.25">
      <c r="A3" s="495" t="s">
        <v>531</v>
      </c>
      <c r="B3" s="1029" t="s">
        <v>968</v>
      </c>
      <c r="C3" s="496" t="s">
        <v>846</v>
      </c>
      <c r="D3" s="497" t="str">
        <f>+CONCATENATE(Z_ALAPADATOK!B1,". évi tervezett támogatás összesen")</f>
        <v>2021. évi tervezett támogatás összesen</v>
      </c>
      <c r="E3" s="498" t="s">
        <v>730</v>
      </c>
      <c r="F3" s="1384"/>
    </row>
    <row r="4" spans="1:6" s="503" customFormat="1" ht="13.5" thickBot="1" x14ac:dyDescent="0.25">
      <c r="A4" s="499" t="s">
        <v>354</v>
      </c>
      <c r="B4" s="1023" t="s">
        <v>355</v>
      </c>
      <c r="C4" s="500" t="s">
        <v>356</v>
      </c>
      <c r="D4" s="501" t="s">
        <v>358</v>
      </c>
      <c r="E4" s="502" t="s">
        <v>357</v>
      </c>
      <c r="F4" s="1384"/>
    </row>
    <row r="5" spans="1:6" ht="15.75" x14ac:dyDescent="0.2">
      <c r="A5" s="1085" t="s">
        <v>6</v>
      </c>
      <c r="B5" s="1102" t="s">
        <v>969</v>
      </c>
      <c r="C5" s="1084" t="s">
        <v>847</v>
      </c>
      <c r="D5" s="1139">
        <v>177117000</v>
      </c>
      <c r="E5" s="1139">
        <v>177117000</v>
      </c>
      <c r="F5" s="1384"/>
    </row>
    <row r="6" spans="1:6" ht="15.75" x14ac:dyDescent="0.2">
      <c r="A6" s="1086" t="s">
        <v>7</v>
      </c>
      <c r="B6" s="1103" t="s">
        <v>970</v>
      </c>
      <c r="C6" s="1100" t="s">
        <v>971</v>
      </c>
      <c r="D6" s="1129">
        <v>19779480</v>
      </c>
      <c r="E6" s="1129">
        <v>19779480</v>
      </c>
      <c r="F6" s="1384"/>
    </row>
    <row r="7" spans="1:6" ht="15.75" x14ac:dyDescent="0.2">
      <c r="A7" s="1086" t="s">
        <v>8</v>
      </c>
      <c r="B7" s="1103" t="s">
        <v>972</v>
      </c>
      <c r="C7" s="1100" t="s">
        <v>973</v>
      </c>
      <c r="D7" s="1129">
        <v>35440000</v>
      </c>
      <c r="E7" s="1129">
        <v>35440000</v>
      </c>
      <c r="F7" s="1384"/>
    </row>
    <row r="8" spans="1:6" ht="15.75" x14ac:dyDescent="0.2">
      <c r="A8" s="1086" t="s">
        <v>9</v>
      </c>
      <c r="B8" s="1103" t="s">
        <v>974</v>
      </c>
      <c r="C8" s="1100" t="s">
        <v>975</v>
      </c>
      <c r="D8" s="1129">
        <v>7111416</v>
      </c>
      <c r="E8" s="1129">
        <v>7111416</v>
      </c>
      <c r="F8" s="1384"/>
    </row>
    <row r="9" spans="1:6" ht="15.75" x14ac:dyDescent="0.2">
      <c r="A9" s="1086" t="s">
        <v>10</v>
      </c>
      <c r="B9" s="1103" t="s">
        <v>976</v>
      </c>
      <c r="C9" s="1100" t="s">
        <v>977</v>
      </c>
      <c r="D9" s="1129">
        <v>21392481</v>
      </c>
      <c r="E9" s="1129">
        <v>21392481</v>
      </c>
      <c r="F9" s="1384"/>
    </row>
    <row r="10" spans="1:6" ht="15.75" x14ac:dyDescent="0.2">
      <c r="A10" s="1086" t="s">
        <v>11</v>
      </c>
      <c r="B10" s="1103" t="s">
        <v>978</v>
      </c>
      <c r="C10" s="1100" t="s">
        <v>979</v>
      </c>
      <c r="D10" s="1129">
        <v>35197200</v>
      </c>
      <c r="E10" s="1129">
        <v>35197200</v>
      </c>
      <c r="F10" s="1384"/>
    </row>
    <row r="11" spans="1:6" ht="15.75" x14ac:dyDescent="0.2">
      <c r="A11" s="1086" t="s">
        <v>12</v>
      </c>
      <c r="B11" s="1103" t="s">
        <v>980</v>
      </c>
      <c r="C11" s="1100" t="s">
        <v>848</v>
      </c>
      <c r="D11" s="1129">
        <v>153000</v>
      </c>
      <c r="E11" s="1129">
        <v>153000</v>
      </c>
      <c r="F11" s="1384"/>
    </row>
    <row r="12" spans="1:6" ht="16.5" thickBot="1" x14ac:dyDescent="0.25">
      <c r="A12" s="1094" t="s">
        <v>13</v>
      </c>
      <c r="B12" s="1106"/>
      <c r="C12" s="1108" t="s">
        <v>981</v>
      </c>
      <c r="D12" s="1130"/>
      <c r="E12" s="1130"/>
      <c r="F12" s="1384"/>
    </row>
    <row r="13" spans="1:6" ht="32.25" thickBot="1" x14ac:dyDescent="0.25">
      <c r="A13" s="1087" t="s">
        <v>14</v>
      </c>
      <c r="B13" s="1104" t="s">
        <v>63</v>
      </c>
      <c r="C13" s="1081" t="s">
        <v>982</v>
      </c>
      <c r="D13" s="1097">
        <v>296190577</v>
      </c>
      <c r="E13" s="1097">
        <v>296190577</v>
      </c>
      <c r="F13" s="1384"/>
    </row>
    <row r="14" spans="1:6" ht="15.75" x14ac:dyDescent="0.2">
      <c r="A14" s="1088" t="s">
        <v>15</v>
      </c>
      <c r="B14" s="1110" t="s">
        <v>983</v>
      </c>
      <c r="C14" s="1110" t="s">
        <v>984</v>
      </c>
      <c r="D14" s="1099">
        <v>33671180</v>
      </c>
      <c r="E14" s="1099">
        <v>33671180</v>
      </c>
      <c r="F14" s="1384"/>
    </row>
    <row r="15" spans="1:6" ht="15.75" x14ac:dyDescent="0.2">
      <c r="A15" s="1086" t="s">
        <v>16</v>
      </c>
      <c r="B15" s="1111" t="s">
        <v>985</v>
      </c>
      <c r="C15" s="1111" t="s">
        <v>986</v>
      </c>
      <c r="D15" s="1129">
        <v>145358850</v>
      </c>
      <c r="E15" s="1129">
        <v>145358850</v>
      </c>
      <c r="F15" s="1384"/>
    </row>
    <row r="16" spans="1:6" ht="31.5" x14ac:dyDescent="0.2">
      <c r="A16" s="1086" t="s">
        <v>17</v>
      </c>
      <c r="B16" s="1111" t="s">
        <v>987</v>
      </c>
      <c r="C16" s="1138" t="s">
        <v>988</v>
      </c>
      <c r="D16" s="1129">
        <v>6609600</v>
      </c>
      <c r="E16" s="1129">
        <v>6609600</v>
      </c>
      <c r="F16" s="1384"/>
    </row>
    <row r="17" spans="1:6" ht="31.5" x14ac:dyDescent="0.2">
      <c r="A17" s="1086" t="s">
        <v>18</v>
      </c>
      <c r="B17" s="1111" t="s">
        <v>989</v>
      </c>
      <c r="C17" s="1138" t="s">
        <v>990</v>
      </c>
      <c r="D17" s="1129">
        <v>7437450</v>
      </c>
      <c r="E17" s="1129">
        <v>7437450</v>
      </c>
      <c r="F17" s="1384"/>
    </row>
    <row r="18" spans="1:6" ht="32.25" customHeight="1" thickBot="1" x14ac:dyDescent="0.25">
      <c r="A18" s="1089" t="s">
        <v>19</v>
      </c>
      <c r="B18" s="1123" t="s">
        <v>991</v>
      </c>
      <c r="C18" s="1163" t="s">
        <v>992</v>
      </c>
      <c r="D18" s="1129">
        <v>69678000</v>
      </c>
      <c r="E18" s="1129">
        <v>69678000</v>
      </c>
      <c r="F18" s="1384"/>
    </row>
    <row r="19" spans="1:6" ht="32.25" thickBot="1" x14ac:dyDescent="0.25">
      <c r="A19" s="1087" t="s">
        <v>20</v>
      </c>
      <c r="B19" s="1104" t="s">
        <v>64</v>
      </c>
      <c r="C19" s="1081" t="s">
        <v>993</v>
      </c>
      <c r="D19" s="1097">
        <v>262755080</v>
      </c>
      <c r="E19" s="1097">
        <v>262755080</v>
      </c>
      <c r="F19" s="1384"/>
    </row>
    <row r="20" spans="1:6" ht="32.25" thickBot="1" x14ac:dyDescent="0.25">
      <c r="A20" s="1082" t="s">
        <v>21</v>
      </c>
      <c r="B20" s="1083" t="s">
        <v>783</v>
      </c>
      <c r="C20" s="1109" t="s">
        <v>994</v>
      </c>
      <c r="D20" s="1131">
        <v>127982119</v>
      </c>
      <c r="E20" s="1131">
        <v>127982119</v>
      </c>
      <c r="F20" s="1384"/>
    </row>
    <row r="21" spans="1:6" ht="15.75" x14ac:dyDescent="0.2">
      <c r="A21" s="1088" t="s">
        <v>22</v>
      </c>
      <c r="B21" s="1127" t="s">
        <v>995</v>
      </c>
      <c r="C21" s="1110" t="s">
        <v>996</v>
      </c>
      <c r="D21" s="1099">
        <v>6809920</v>
      </c>
      <c r="E21" s="1099">
        <v>6809920</v>
      </c>
      <c r="F21" s="1384"/>
    </row>
    <row r="22" spans="1:6" ht="15.75" x14ac:dyDescent="0.2">
      <c r="A22" s="1086" t="s">
        <v>23</v>
      </c>
      <c r="B22" s="1128" t="s">
        <v>997</v>
      </c>
      <c r="C22" s="1111" t="s">
        <v>998</v>
      </c>
      <c r="D22" s="1129">
        <v>23737041</v>
      </c>
      <c r="E22" s="1129">
        <v>23737041</v>
      </c>
      <c r="F22" s="1384"/>
    </row>
    <row r="23" spans="1:6" ht="15.75" x14ac:dyDescent="0.2">
      <c r="A23" s="1086" t="s">
        <v>24</v>
      </c>
      <c r="B23" s="1128" t="s">
        <v>999</v>
      </c>
      <c r="C23" s="1111" t="s">
        <v>1000</v>
      </c>
      <c r="D23" s="1129">
        <v>4392050</v>
      </c>
      <c r="E23" s="1129">
        <v>4392050</v>
      </c>
      <c r="F23" s="1384"/>
    </row>
    <row r="24" spans="1:6" ht="15.75" x14ac:dyDescent="0.2">
      <c r="A24" s="1086" t="s">
        <v>25</v>
      </c>
      <c r="B24" s="1128" t="s">
        <v>1001</v>
      </c>
      <c r="C24" s="1111" t="s">
        <v>1002</v>
      </c>
      <c r="D24" s="1129">
        <v>25000</v>
      </c>
      <c r="E24" s="1129">
        <v>25000</v>
      </c>
      <c r="F24" s="1384"/>
    </row>
    <row r="25" spans="1:6" ht="12.95" customHeight="1" x14ac:dyDescent="0.2">
      <c r="A25" s="1086" t="s">
        <v>26</v>
      </c>
      <c r="B25" s="1128" t="s">
        <v>1003</v>
      </c>
      <c r="C25" s="1111" t="s">
        <v>1004</v>
      </c>
      <c r="D25" s="1129">
        <v>25333370</v>
      </c>
      <c r="E25" s="1129">
        <v>25333370</v>
      </c>
      <c r="F25" s="1384"/>
    </row>
    <row r="26" spans="1:6" ht="15.75" x14ac:dyDescent="0.2">
      <c r="A26" s="1086" t="s">
        <v>27</v>
      </c>
      <c r="B26" s="1128" t="s">
        <v>1005</v>
      </c>
      <c r="C26" s="1111" t="s">
        <v>1006</v>
      </c>
      <c r="D26" s="1129">
        <v>3048000</v>
      </c>
      <c r="E26" s="1129">
        <v>3048000</v>
      </c>
      <c r="F26" s="1384"/>
    </row>
    <row r="27" spans="1:6" ht="15.75" x14ac:dyDescent="0.2">
      <c r="A27" s="1086" t="s">
        <v>28</v>
      </c>
      <c r="B27" s="1128" t="s">
        <v>1007</v>
      </c>
      <c r="C27" s="1111" t="s">
        <v>1008</v>
      </c>
      <c r="D27" s="1129">
        <v>2690280</v>
      </c>
      <c r="E27" s="1129">
        <v>2690280</v>
      </c>
      <c r="F27" s="1384"/>
    </row>
    <row r="28" spans="1:6" ht="15.75" x14ac:dyDescent="0.2">
      <c r="A28" s="1086" t="s">
        <v>29</v>
      </c>
      <c r="B28" s="1128" t="s">
        <v>1009</v>
      </c>
      <c r="C28" s="1111" t="s">
        <v>1010</v>
      </c>
      <c r="D28" s="1129">
        <v>3000000</v>
      </c>
      <c r="E28" s="1129">
        <v>3000000</v>
      </c>
      <c r="F28" s="1384"/>
    </row>
    <row r="29" spans="1:6" ht="15.75" x14ac:dyDescent="0.2">
      <c r="A29" s="1086" t="s">
        <v>30</v>
      </c>
      <c r="B29" s="1112" t="s">
        <v>1011</v>
      </c>
      <c r="C29" s="1111" t="s">
        <v>1012</v>
      </c>
      <c r="D29" s="1129">
        <v>20155352</v>
      </c>
      <c r="E29" s="1129">
        <v>20155352</v>
      </c>
      <c r="F29" s="1384"/>
    </row>
    <row r="30" spans="1:6" ht="15.75" x14ac:dyDescent="0.2">
      <c r="A30" s="1086" t="s">
        <v>31</v>
      </c>
      <c r="B30" s="1112" t="s">
        <v>1013</v>
      </c>
      <c r="C30" s="1111" t="s">
        <v>1014</v>
      </c>
      <c r="D30" s="1129">
        <v>125358614</v>
      </c>
      <c r="E30" s="1129">
        <v>125358614</v>
      </c>
      <c r="F30" s="1384"/>
    </row>
    <row r="31" spans="1:6" ht="16.5" thickBot="1" x14ac:dyDescent="0.25">
      <c r="A31" s="1101" t="s">
        <v>32</v>
      </c>
      <c r="B31" s="1125" t="s">
        <v>1015</v>
      </c>
      <c r="C31" s="1119" t="s">
        <v>1016</v>
      </c>
      <c r="D31" s="1132">
        <v>15950697</v>
      </c>
      <c r="E31" s="1132">
        <v>15950697</v>
      </c>
      <c r="F31" s="1384"/>
    </row>
    <row r="32" spans="1:6" ht="32.25" thickBot="1" x14ac:dyDescent="0.25">
      <c r="A32" s="1090" t="s">
        <v>33</v>
      </c>
      <c r="B32" s="1105" t="s">
        <v>1017</v>
      </c>
      <c r="C32" s="1081" t="s">
        <v>1018</v>
      </c>
      <c r="D32" s="1091">
        <v>230500324</v>
      </c>
      <c r="E32" s="1091">
        <v>230500324</v>
      </c>
      <c r="F32" s="1384"/>
    </row>
    <row r="33" spans="1:6" ht="31.5" x14ac:dyDescent="0.2">
      <c r="A33" s="1088" t="s">
        <v>525</v>
      </c>
      <c r="B33" s="1113" t="s">
        <v>1019</v>
      </c>
      <c r="C33" s="1114" t="s">
        <v>1020</v>
      </c>
      <c r="D33" s="1092">
        <v>35700000</v>
      </c>
      <c r="E33" s="1092">
        <v>35700000</v>
      </c>
      <c r="F33" s="1384"/>
    </row>
    <row r="34" spans="1:6" ht="31.5" x14ac:dyDescent="0.2">
      <c r="A34" s="1089" t="s">
        <v>526</v>
      </c>
      <c r="B34" s="1113" t="s">
        <v>1021</v>
      </c>
      <c r="C34" s="1114" t="s">
        <v>1022</v>
      </c>
      <c r="D34" s="1093">
        <v>33654000</v>
      </c>
      <c r="E34" s="1093">
        <v>33654000</v>
      </c>
      <c r="F34" s="1384"/>
    </row>
    <row r="35" spans="1:6" ht="16.5" thickBot="1" x14ac:dyDescent="0.25">
      <c r="A35" s="1089" t="s">
        <v>527</v>
      </c>
      <c r="B35" s="1115" t="s">
        <v>1023</v>
      </c>
      <c r="C35" s="1116" t="s">
        <v>1024</v>
      </c>
      <c r="D35" s="1093">
        <v>7408000</v>
      </c>
      <c r="E35" s="1093">
        <v>7408000</v>
      </c>
      <c r="F35" s="1384"/>
    </row>
    <row r="36" spans="1:6" ht="16.5" thickBot="1" x14ac:dyDescent="0.25">
      <c r="A36" s="1090" t="s">
        <v>528</v>
      </c>
      <c r="B36" s="1105" t="s">
        <v>1025</v>
      </c>
      <c r="C36" s="1117" t="s">
        <v>1026</v>
      </c>
      <c r="D36" s="1091">
        <v>76762000</v>
      </c>
      <c r="E36" s="1091">
        <v>76762000</v>
      </c>
      <c r="F36" s="1384"/>
    </row>
    <row r="37" spans="1:6" s="504" customFormat="1" ht="19.5" customHeight="1" x14ac:dyDescent="0.2">
      <c r="A37" s="1085" t="s">
        <v>529</v>
      </c>
      <c r="B37" s="1102" t="s">
        <v>1027</v>
      </c>
      <c r="C37" s="1118" t="s">
        <v>1028</v>
      </c>
      <c r="D37" s="1139">
        <v>151028000</v>
      </c>
      <c r="E37" s="1139">
        <v>151028000</v>
      </c>
      <c r="F37" s="1384"/>
    </row>
    <row r="38" spans="1:6" ht="16.5" thickBot="1" x14ac:dyDescent="0.25">
      <c r="A38" s="1094" t="s">
        <v>579</v>
      </c>
      <c r="B38" s="1106" t="s">
        <v>1029</v>
      </c>
      <c r="C38" s="1119" t="s">
        <v>1030</v>
      </c>
      <c r="D38" s="1141">
        <v>54135000</v>
      </c>
      <c r="E38" s="1141">
        <v>54135000</v>
      </c>
    </row>
    <row r="39" spans="1:6" ht="48" thickBot="1" x14ac:dyDescent="0.25">
      <c r="A39" s="1095" t="s">
        <v>581</v>
      </c>
      <c r="B39" s="1107" t="s">
        <v>1031</v>
      </c>
      <c r="C39" s="1120" t="s">
        <v>1032</v>
      </c>
      <c r="D39" s="1131">
        <v>205163000</v>
      </c>
      <c r="E39" s="1131">
        <v>205163000</v>
      </c>
    </row>
    <row r="40" spans="1:6" ht="32.25" thickBot="1" x14ac:dyDescent="0.25">
      <c r="A40" s="1087" t="s">
        <v>583</v>
      </c>
      <c r="B40" s="1104" t="s">
        <v>1033</v>
      </c>
      <c r="C40" s="1096" t="s">
        <v>1034</v>
      </c>
      <c r="D40" s="1097">
        <v>640407443</v>
      </c>
      <c r="E40" s="1097">
        <v>640407443</v>
      </c>
    </row>
    <row r="41" spans="1:6" ht="15.75" x14ac:dyDescent="0.2">
      <c r="A41" s="1088" t="s">
        <v>585</v>
      </c>
      <c r="B41" s="1124" t="s">
        <v>1035</v>
      </c>
      <c r="C41" s="1098" t="s">
        <v>1036</v>
      </c>
      <c r="D41" s="1099">
        <v>54067500</v>
      </c>
      <c r="E41" s="1099">
        <v>54067500</v>
      </c>
    </row>
    <row r="42" spans="1:6" ht="15.75" x14ac:dyDescent="0.2">
      <c r="A42" s="1086" t="s">
        <v>587</v>
      </c>
      <c r="B42" s="1113" t="s">
        <v>1037</v>
      </c>
      <c r="C42" s="1114" t="s">
        <v>1038</v>
      </c>
      <c r="D42" s="1129">
        <v>85517909</v>
      </c>
      <c r="E42" s="1129">
        <v>85517909</v>
      </c>
    </row>
    <row r="43" spans="1:6" ht="16.5" thickBot="1" x14ac:dyDescent="0.25">
      <c r="A43" s="1089" t="s">
        <v>589</v>
      </c>
      <c r="B43" s="1121" t="s">
        <v>1039</v>
      </c>
      <c r="C43" s="1116" t="s">
        <v>1040</v>
      </c>
      <c r="D43" s="1142">
        <v>48963285</v>
      </c>
      <c r="E43" s="1142">
        <v>48963285</v>
      </c>
    </row>
    <row r="44" spans="1:6" ht="32.25" thickBot="1" x14ac:dyDescent="0.25">
      <c r="A44" s="1087" t="s">
        <v>591</v>
      </c>
      <c r="B44" s="1104" t="s">
        <v>66</v>
      </c>
      <c r="C44" s="1122" t="s">
        <v>1041</v>
      </c>
      <c r="D44" s="1097">
        <v>188548694</v>
      </c>
      <c r="E44" s="1097">
        <v>188548694</v>
      </c>
    </row>
    <row r="45" spans="1:6" ht="31.5" x14ac:dyDescent="0.2">
      <c r="A45" s="1085" t="s">
        <v>593</v>
      </c>
      <c r="B45" s="1102" t="s">
        <v>1042</v>
      </c>
      <c r="C45" s="1126" t="s">
        <v>1043</v>
      </c>
      <c r="D45" s="1140">
        <v>28757416</v>
      </c>
      <c r="E45" s="1140">
        <v>28757416</v>
      </c>
    </row>
    <row r="46" spans="1:6" ht="31.5" x14ac:dyDescent="0.2">
      <c r="A46" s="1086" t="s">
        <v>595</v>
      </c>
      <c r="B46" s="1134" t="s">
        <v>1044</v>
      </c>
      <c r="C46" s="1135" t="s">
        <v>1045</v>
      </c>
      <c r="D46" s="1136">
        <v>12600000</v>
      </c>
      <c r="E46" s="1136">
        <v>12600000</v>
      </c>
    </row>
    <row r="47" spans="1:6" ht="32.25" thickBot="1" x14ac:dyDescent="0.25">
      <c r="A47" s="1094" t="s">
        <v>597</v>
      </c>
      <c r="B47" s="1106" t="s">
        <v>1046</v>
      </c>
      <c r="C47" s="1137" t="s">
        <v>1047</v>
      </c>
      <c r="D47" s="1130">
        <v>951000</v>
      </c>
      <c r="E47" s="1130">
        <v>951000</v>
      </c>
    </row>
    <row r="48" spans="1:6" ht="32.25" thickBot="1" x14ac:dyDescent="0.25">
      <c r="A48" s="1087" t="s">
        <v>599</v>
      </c>
      <c r="B48" s="1104" t="s">
        <v>84</v>
      </c>
      <c r="C48" s="1122" t="s">
        <v>1048</v>
      </c>
      <c r="D48" s="1097">
        <v>42308416</v>
      </c>
      <c r="E48" s="1097">
        <v>42308416</v>
      </c>
    </row>
    <row r="49" spans="1:6" ht="16.5" thickBot="1" x14ac:dyDescent="0.25">
      <c r="A49" s="1087" t="s">
        <v>601</v>
      </c>
      <c r="B49" s="1104" t="s">
        <v>1050</v>
      </c>
      <c r="C49" s="1031" t="s">
        <v>1049</v>
      </c>
      <c r="D49" s="1097">
        <v>-24566831</v>
      </c>
      <c r="E49" s="1097">
        <v>-24566831</v>
      </c>
    </row>
    <row r="50" spans="1:6" s="1080" customFormat="1" ht="16.5" thickBot="1" x14ac:dyDescent="0.25">
      <c r="A50" s="1028" t="s">
        <v>603</v>
      </c>
      <c r="B50" s="1389" t="s">
        <v>306</v>
      </c>
      <c r="C50" s="1390"/>
      <c r="D50" s="1019">
        <v>202586020</v>
      </c>
      <c r="E50" s="1019">
        <v>89874183</v>
      </c>
      <c r="F50" s="982"/>
    </row>
    <row r="51" spans="1:6" ht="16.5" thickBot="1" x14ac:dyDescent="0.25">
      <c r="A51" s="1087" t="s">
        <v>605</v>
      </c>
      <c r="B51" s="1387" t="s">
        <v>1051</v>
      </c>
      <c r="C51" s="1388"/>
      <c r="D51" s="1133">
        <v>1608229399</v>
      </c>
      <c r="E51" s="1133">
        <v>1495517562</v>
      </c>
    </row>
  </sheetData>
  <mergeCells count="5">
    <mergeCell ref="F1:F37"/>
    <mergeCell ref="A2:E2"/>
    <mergeCell ref="A1:E1"/>
    <mergeCell ref="B51:C51"/>
    <mergeCell ref="B50:C50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57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M33"/>
  <sheetViews>
    <sheetView zoomScale="120" zoomScaleNormal="120" workbookViewId="0">
      <selection activeCell="F7" sqref="F7"/>
    </sheetView>
  </sheetViews>
  <sheetFormatPr defaultRowHeight="12.75" x14ac:dyDescent="0.2"/>
  <cols>
    <col min="1" max="1" width="43.33203125" customWidth="1"/>
    <col min="2" max="2" width="49.1640625" customWidth="1"/>
    <col min="3" max="3" width="1.33203125" bestFit="1" customWidth="1"/>
    <col min="4" max="4" width="6.83203125" customWidth="1"/>
    <col min="5" max="5" width="1.5" bestFit="1" customWidth="1"/>
    <col min="7" max="7" width="1.5" bestFit="1" customWidth="1"/>
    <col min="8" max="8" width="10.5" customWidth="1"/>
    <col min="10" max="13" width="0" hidden="1" customWidth="1"/>
  </cols>
  <sheetData>
    <row r="1" spans="1:13" x14ac:dyDescent="0.2">
      <c r="A1" s="479"/>
      <c r="B1" s="519">
        <f>Z_TARTALOMJEGYZÉK!A1</f>
        <v>2021</v>
      </c>
      <c r="C1" s="519" t="s">
        <v>742</v>
      </c>
      <c r="D1" s="519"/>
      <c r="E1" s="479"/>
      <c r="F1" s="479"/>
      <c r="G1" s="479"/>
      <c r="H1" s="479"/>
      <c r="I1" s="479"/>
    </row>
    <row r="2" spans="1:13" ht="15.75" x14ac:dyDescent="0.25">
      <c r="A2" s="1304" t="s">
        <v>445</v>
      </c>
      <c r="B2" s="1304"/>
      <c r="C2" s="1304"/>
      <c r="D2" s="1304"/>
      <c r="E2" s="1304"/>
      <c r="F2" s="1304"/>
      <c r="G2" s="479"/>
      <c r="H2" s="479"/>
      <c r="I2" s="479"/>
    </row>
    <row r="3" spans="1:13" ht="15.75" x14ac:dyDescent="0.25">
      <c r="A3" s="1307" t="s">
        <v>748</v>
      </c>
      <c r="B3" s="1307"/>
      <c r="C3" s="1307"/>
      <c r="D3" s="1307"/>
      <c r="E3" s="1307"/>
      <c r="F3" s="1307"/>
      <c r="G3" s="1307"/>
      <c r="H3" s="479"/>
      <c r="I3" s="479"/>
    </row>
    <row r="4" spans="1:13" x14ac:dyDescent="0.2">
      <c r="A4" s="479"/>
      <c r="B4" s="479"/>
      <c r="C4" s="479"/>
      <c r="D4" s="479"/>
      <c r="E4" s="479"/>
      <c r="F4" s="479"/>
      <c r="G4" s="479"/>
      <c r="H4" s="479"/>
      <c r="I4" s="479"/>
    </row>
    <row r="5" spans="1:13" x14ac:dyDescent="0.2">
      <c r="A5" s="479"/>
      <c r="B5" s="479"/>
      <c r="C5" s="479"/>
      <c r="D5" s="479"/>
      <c r="E5" s="479"/>
      <c r="F5" s="479"/>
      <c r="G5" s="479"/>
      <c r="H5" s="479"/>
      <c r="I5" s="479"/>
    </row>
    <row r="6" spans="1:13" ht="15" x14ac:dyDescent="0.25">
      <c r="A6" s="520" t="s">
        <v>727</v>
      </c>
      <c r="B6" s="479"/>
      <c r="C6" s="479"/>
      <c r="D6" s="479"/>
      <c r="E6" s="479"/>
      <c r="F6" s="479"/>
      <c r="G6" s="479"/>
      <c r="H6" s="479"/>
      <c r="I6" s="479"/>
    </row>
    <row r="7" spans="1:13" x14ac:dyDescent="0.2">
      <c r="A7" s="521" t="s">
        <v>721</v>
      </c>
      <c r="B7" s="512">
        <v>12</v>
      </c>
      <c r="C7" s="479" t="s">
        <v>722</v>
      </c>
      <c r="D7" s="479" t="str">
        <f>CONCATENATE(Z_TARTALOMJEGYZÉK!A1+1,".")</f>
        <v>2022.</v>
      </c>
      <c r="E7" s="479" t="s">
        <v>723</v>
      </c>
      <c r="F7" s="512" t="s">
        <v>1074</v>
      </c>
      <c r="G7" s="479" t="s">
        <v>724</v>
      </c>
      <c r="H7" s="479" t="s">
        <v>725</v>
      </c>
      <c r="I7" s="479"/>
    </row>
    <row r="8" spans="1:13" x14ac:dyDescent="0.2">
      <c r="A8" s="521"/>
      <c r="B8" s="522"/>
      <c r="C8" s="479"/>
      <c r="D8" s="479"/>
      <c r="E8" s="479"/>
      <c r="F8" s="522"/>
      <c r="G8" s="479"/>
      <c r="H8" s="479"/>
      <c r="I8" s="479"/>
    </row>
    <row r="9" spans="1:13" x14ac:dyDescent="0.2">
      <c r="A9" s="521"/>
      <c r="B9" s="522"/>
      <c r="C9" s="479"/>
      <c r="D9" s="479"/>
      <c r="E9" s="479"/>
      <c r="F9" s="522"/>
      <c r="G9" s="479"/>
      <c r="H9" s="479"/>
      <c r="I9" s="479"/>
    </row>
    <row r="10" spans="1:13" ht="13.5" thickBot="1" x14ac:dyDescent="0.25">
      <c r="A10" s="479"/>
      <c r="B10" s="479"/>
      <c r="C10" s="479"/>
      <c r="D10" s="479"/>
      <c r="E10" s="479"/>
      <c r="F10" s="479"/>
      <c r="G10" s="479"/>
      <c r="H10" s="515" t="s">
        <v>744</v>
      </c>
      <c r="I10" s="479"/>
    </row>
    <row r="11" spans="1:13" ht="17.25" thickTop="1" thickBot="1" x14ac:dyDescent="0.3">
      <c r="A11" s="1305" t="s">
        <v>749</v>
      </c>
      <c r="B11" s="1306"/>
      <c r="C11" s="1306"/>
      <c r="D11" s="1306"/>
      <c r="E11" s="1306"/>
      <c r="F11" s="1306"/>
      <c r="G11" s="1306"/>
      <c r="H11" s="523" t="s">
        <v>746</v>
      </c>
      <c r="I11" s="479"/>
      <c r="J11" s="516" t="s">
        <v>11</v>
      </c>
      <c r="K11">
        <f>IF($H$11="Nem","",2)</f>
        <v>2</v>
      </c>
      <c r="L11" t="s">
        <v>745</v>
      </c>
      <c r="M11" t="str">
        <f>CONCATENATE(J11,K11,L11)</f>
        <v>6.2.</v>
      </c>
    </row>
    <row r="12" spans="1:13" ht="13.5" thickTop="1" x14ac:dyDescent="0.2">
      <c r="A12" s="479"/>
      <c r="B12" s="479"/>
      <c r="C12" s="479"/>
      <c r="D12" s="479"/>
      <c r="E12" s="479"/>
      <c r="F12" s="479"/>
      <c r="G12" s="479"/>
      <c r="H12" s="479"/>
      <c r="I12" s="479"/>
    </row>
    <row r="13" spans="1:13" ht="14.25" x14ac:dyDescent="0.2">
      <c r="A13" s="524" t="s">
        <v>446</v>
      </c>
      <c r="B13" s="1302" t="s">
        <v>750</v>
      </c>
      <c r="C13" s="1303"/>
      <c r="D13" s="1303"/>
      <c r="E13" s="1303"/>
      <c r="F13" s="1303"/>
      <c r="G13" s="1303"/>
      <c r="H13" s="479"/>
      <c r="I13" s="479"/>
      <c r="J13" s="516" t="s">
        <v>11</v>
      </c>
      <c r="K13">
        <f>IF(H11="Nem",2,3)</f>
        <v>3</v>
      </c>
      <c r="L13" t="s">
        <v>745</v>
      </c>
      <c r="M13" t="str">
        <f>CONCATENATE(J13,K13,L13)</f>
        <v>6.3.</v>
      </c>
    </row>
    <row r="14" spans="1:13" ht="14.25" x14ac:dyDescent="0.2">
      <c r="A14" s="479"/>
      <c r="B14" s="513"/>
      <c r="C14" s="479"/>
      <c r="D14" s="479"/>
      <c r="E14" s="479"/>
      <c r="F14" s="479"/>
      <c r="G14" s="479"/>
      <c r="H14" s="479"/>
      <c r="I14" s="479"/>
    </row>
    <row r="15" spans="1:13" ht="14.25" x14ac:dyDescent="0.2">
      <c r="A15" s="524" t="s">
        <v>447</v>
      </c>
      <c r="B15" s="1302" t="s">
        <v>751</v>
      </c>
      <c r="C15" s="1303"/>
      <c r="D15" s="1303"/>
      <c r="E15" s="1303"/>
      <c r="F15" s="1303"/>
      <c r="G15" s="1303"/>
      <c r="H15" s="479"/>
      <c r="I15" s="479"/>
      <c r="J15" s="516" t="s">
        <v>11</v>
      </c>
      <c r="K15">
        <f>K13+1</f>
        <v>4</v>
      </c>
      <c r="L15" t="s">
        <v>745</v>
      </c>
      <c r="M15" t="str">
        <f>CONCATENATE(J15,K15,L15)</f>
        <v>6.4.</v>
      </c>
    </row>
    <row r="16" spans="1:13" ht="14.25" x14ac:dyDescent="0.2">
      <c r="A16" s="479"/>
      <c r="B16" s="513"/>
      <c r="C16" s="479"/>
      <c r="D16" s="479"/>
      <c r="E16" s="479"/>
      <c r="F16" s="479"/>
      <c r="G16" s="479"/>
      <c r="H16" s="479"/>
      <c r="I16" s="479"/>
    </row>
    <row r="17" spans="1:13" ht="14.25" x14ac:dyDescent="0.2">
      <c r="A17" s="524" t="s">
        <v>448</v>
      </c>
      <c r="B17" s="1302" t="s">
        <v>752</v>
      </c>
      <c r="C17" s="1303"/>
      <c r="D17" s="1303"/>
      <c r="E17" s="1303"/>
      <c r="F17" s="1303"/>
      <c r="G17" s="1303"/>
      <c r="H17" s="479"/>
      <c r="I17" s="479"/>
      <c r="J17" s="516" t="s">
        <v>11</v>
      </c>
      <c r="K17">
        <f>K15+1</f>
        <v>5</v>
      </c>
      <c r="L17" t="s">
        <v>745</v>
      </c>
      <c r="M17" t="str">
        <f>CONCATENATE(J17,K17,L17)</f>
        <v>6.5.</v>
      </c>
    </row>
    <row r="18" spans="1:13" ht="14.25" x14ac:dyDescent="0.2">
      <c r="A18" s="479"/>
      <c r="B18" s="513"/>
      <c r="C18" s="479"/>
      <c r="D18" s="479"/>
      <c r="E18" s="479"/>
      <c r="F18" s="479"/>
      <c r="G18" s="479"/>
      <c r="H18" s="479"/>
      <c r="I18" s="479"/>
    </row>
    <row r="19" spans="1:13" ht="14.25" x14ac:dyDescent="0.2">
      <c r="A19" s="524" t="s">
        <v>449</v>
      </c>
      <c r="B19" s="1302" t="s">
        <v>753</v>
      </c>
      <c r="C19" s="1303"/>
      <c r="D19" s="1303"/>
      <c r="E19" s="1303"/>
      <c r="F19" s="1303"/>
      <c r="G19" s="1303"/>
      <c r="H19" s="479"/>
      <c r="I19" s="479"/>
      <c r="J19" s="516" t="s">
        <v>11</v>
      </c>
      <c r="K19">
        <f>K17+1</f>
        <v>6</v>
      </c>
      <c r="L19" t="s">
        <v>745</v>
      </c>
      <c r="M19" t="str">
        <f>CONCATENATE(J19,K19,L19)</f>
        <v>6.6.</v>
      </c>
    </row>
    <row r="20" spans="1:13" ht="14.25" x14ac:dyDescent="0.2">
      <c r="A20" s="479"/>
      <c r="B20" s="513"/>
      <c r="C20" s="479"/>
      <c r="D20" s="479"/>
      <c r="E20" s="479"/>
      <c r="F20" s="479"/>
      <c r="G20" s="479"/>
      <c r="H20" s="479"/>
      <c r="I20" s="479"/>
    </row>
    <row r="21" spans="1:13" ht="14.25" x14ac:dyDescent="0.2">
      <c r="A21" s="524" t="s">
        <v>450</v>
      </c>
      <c r="B21" s="1302" t="s">
        <v>754</v>
      </c>
      <c r="C21" s="1303"/>
      <c r="D21" s="1303"/>
      <c r="E21" s="1303"/>
      <c r="F21" s="1303"/>
      <c r="G21" s="1303"/>
      <c r="H21" s="479"/>
      <c r="I21" s="479"/>
      <c r="J21" s="516" t="s">
        <v>11</v>
      </c>
      <c r="K21">
        <f>K19+1</f>
        <v>7</v>
      </c>
      <c r="L21" t="s">
        <v>745</v>
      </c>
      <c r="M21" t="str">
        <f>CONCATENATE(J21,K21,L21)</f>
        <v>6.7.</v>
      </c>
    </row>
    <row r="22" spans="1:13" ht="14.25" x14ac:dyDescent="0.2">
      <c r="A22" s="479"/>
      <c r="B22" s="513"/>
      <c r="C22" s="479"/>
      <c r="D22" s="479"/>
      <c r="E22" s="479"/>
      <c r="F22" s="479"/>
      <c r="G22" s="479"/>
      <c r="H22" s="479"/>
      <c r="I22" s="479"/>
    </row>
    <row r="23" spans="1:13" ht="14.25" x14ac:dyDescent="0.2">
      <c r="A23" s="524" t="s">
        <v>451</v>
      </c>
      <c r="B23" s="1302" t="s">
        <v>452</v>
      </c>
      <c r="C23" s="1303"/>
      <c r="D23" s="1303"/>
      <c r="E23" s="1303"/>
      <c r="F23" s="1303"/>
      <c r="G23" s="1303"/>
      <c r="H23" s="479"/>
      <c r="I23" s="479"/>
      <c r="J23" s="516" t="s">
        <v>11</v>
      </c>
      <c r="K23">
        <f>K21+1</f>
        <v>8</v>
      </c>
      <c r="L23" t="s">
        <v>745</v>
      </c>
      <c r="M23" t="str">
        <f>CONCATENATE(J23,K23,L23)</f>
        <v>6.8.</v>
      </c>
    </row>
    <row r="24" spans="1:13" ht="14.25" x14ac:dyDescent="0.2">
      <c r="A24" s="479"/>
      <c r="B24" s="513"/>
      <c r="C24" s="479"/>
      <c r="D24" s="479"/>
      <c r="E24" s="479"/>
      <c r="F24" s="479"/>
      <c r="G24" s="479"/>
      <c r="H24" s="479"/>
      <c r="I24" s="479"/>
    </row>
    <row r="25" spans="1:13" ht="14.25" x14ac:dyDescent="0.2">
      <c r="A25" s="524" t="s">
        <v>453</v>
      </c>
      <c r="B25" s="1302" t="s">
        <v>454</v>
      </c>
      <c r="C25" s="1303"/>
      <c r="D25" s="1303"/>
      <c r="E25" s="1303"/>
      <c r="F25" s="1303"/>
      <c r="G25" s="1303"/>
      <c r="H25" s="479"/>
      <c r="I25" s="479"/>
      <c r="J25" s="516" t="s">
        <v>11</v>
      </c>
      <c r="K25">
        <f>K23+1</f>
        <v>9</v>
      </c>
      <c r="L25" t="s">
        <v>745</v>
      </c>
      <c r="M25" t="str">
        <f>CONCATENATE(J25,K25,L25)</f>
        <v>6.9.</v>
      </c>
    </row>
    <row r="26" spans="1:13" ht="14.25" x14ac:dyDescent="0.2">
      <c r="A26" s="479"/>
      <c r="B26" s="513"/>
      <c r="C26" s="479"/>
      <c r="D26" s="479"/>
      <c r="E26" s="479"/>
      <c r="F26" s="479"/>
      <c r="G26" s="479"/>
      <c r="H26" s="479"/>
      <c r="I26" s="479"/>
    </row>
    <row r="27" spans="1:13" ht="14.25" x14ac:dyDescent="0.2">
      <c r="A27" s="524" t="s">
        <v>455</v>
      </c>
      <c r="B27" s="1302" t="s">
        <v>456</v>
      </c>
      <c r="C27" s="1303"/>
      <c r="D27" s="1303"/>
      <c r="E27" s="1303"/>
      <c r="F27" s="1303"/>
      <c r="G27" s="1303"/>
      <c r="H27" s="479"/>
      <c r="I27" s="479"/>
      <c r="J27" s="516" t="s">
        <v>11</v>
      </c>
      <c r="K27">
        <f>K25+1</f>
        <v>10</v>
      </c>
      <c r="L27" t="s">
        <v>745</v>
      </c>
      <c r="M27" t="str">
        <f>CONCATENATE(J27,K27,L27)</f>
        <v>6.10.</v>
      </c>
    </row>
    <row r="28" spans="1:13" ht="14.25" x14ac:dyDescent="0.2">
      <c r="A28" s="479"/>
      <c r="B28" s="513"/>
      <c r="C28" s="479"/>
      <c r="D28" s="479"/>
      <c r="E28" s="479"/>
      <c r="F28" s="479"/>
      <c r="G28" s="479"/>
      <c r="H28" s="479"/>
      <c r="I28" s="479"/>
    </row>
    <row r="29" spans="1:13" ht="14.25" x14ac:dyDescent="0.2">
      <c r="A29" s="524" t="s">
        <v>455</v>
      </c>
      <c r="B29" s="1302" t="s">
        <v>457</v>
      </c>
      <c r="C29" s="1303"/>
      <c r="D29" s="1303"/>
      <c r="E29" s="1303"/>
      <c r="F29" s="1303"/>
      <c r="G29" s="1303"/>
      <c r="H29" s="479"/>
      <c r="I29" s="479"/>
      <c r="J29" s="516" t="s">
        <v>11</v>
      </c>
      <c r="K29">
        <f>K27+1</f>
        <v>11</v>
      </c>
      <c r="L29" t="s">
        <v>745</v>
      </c>
      <c r="M29" t="str">
        <f>CONCATENATE(J29,K29,L29)</f>
        <v>6.11.</v>
      </c>
    </row>
    <row r="30" spans="1:13" ht="14.25" x14ac:dyDescent="0.2">
      <c r="A30" s="479"/>
      <c r="B30" s="513"/>
      <c r="C30" s="479"/>
      <c r="D30" s="479"/>
      <c r="E30" s="479"/>
      <c r="F30" s="479"/>
      <c r="G30" s="479"/>
      <c r="H30" s="479"/>
      <c r="I30" s="479"/>
    </row>
    <row r="31" spans="1:13" ht="14.25" x14ac:dyDescent="0.2">
      <c r="A31" s="524" t="s">
        <v>458</v>
      </c>
      <c r="B31" s="1302" t="s">
        <v>459</v>
      </c>
      <c r="C31" s="1303"/>
      <c r="D31" s="1303"/>
      <c r="E31" s="1303"/>
      <c r="F31" s="1303"/>
      <c r="G31" s="1303"/>
      <c r="H31" s="479"/>
      <c r="I31" s="479"/>
      <c r="J31" s="516" t="s">
        <v>11</v>
      </c>
      <c r="K31">
        <f>K29+1</f>
        <v>12</v>
      </c>
      <c r="L31" t="s">
        <v>745</v>
      </c>
      <c r="M31" t="str">
        <f>CONCATENATE(J31,K31,L31)</f>
        <v>6.12.</v>
      </c>
    </row>
    <row r="32" spans="1:13" x14ac:dyDescent="0.2">
      <c r="A32" s="479"/>
      <c r="B32" s="479"/>
      <c r="C32" s="479"/>
      <c r="D32" s="479"/>
      <c r="E32" s="479"/>
      <c r="F32" s="479"/>
      <c r="G32" s="479"/>
      <c r="H32" s="479"/>
      <c r="I32" s="479"/>
    </row>
    <row r="33" spans="1:9" x14ac:dyDescent="0.2">
      <c r="A33" s="479"/>
      <c r="B33" s="479"/>
      <c r="C33" s="479"/>
      <c r="D33" s="479"/>
      <c r="E33" s="479"/>
      <c r="F33" s="479"/>
      <c r="G33" s="479"/>
      <c r="H33" s="479"/>
      <c r="I33" s="479"/>
    </row>
  </sheetData>
  <sheetProtection sheet="1"/>
  <mergeCells count="13">
    <mergeCell ref="B31:G31"/>
    <mergeCell ref="B19:G19"/>
    <mergeCell ref="B21:G21"/>
    <mergeCell ref="B23:G23"/>
    <mergeCell ref="B25:G25"/>
    <mergeCell ref="B27:G27"/>
    <mergeCell ref="B29:G29"/>
    <mergeCell ref="B17:G17"/>
    <mergeCell ref="A2:F2"/>
    <mergeCell ref="A11:G11"/>
    <mergeCell ref="A3:G3"/>
    <mergeCell ref="B13:G13"/>
    <mergeCell ref="B15:G15"/>
  </mergeCells>
  <phoneticPr fontId="35" type="noConversion"/>
  <conditionalFormatting sqref="A11">
    <cfRule type="expression" dxfId="2" priority="1" stopIfTrue="1">
      <formula>$H$11="Nem"</formula>
    </cfRule>
  </conditionalFormatting>
  <dataValidations count="2">
    <dataValidation type="list" allowBlank="1" showInputMessage="1" showErrorMessage="1" sqref="A6">
      <formula1>",Előterjesztéskor,Jóváhagyás után"</formula1>
    </dataValidation>
    <dataValidation type="list" allowBlank="1" showInputMessage="1" showErrorMessage="1" sqref="H11">
      <formula1>"Igen,Nem"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8"/>
  <dimension ref="A1:I169"/>
  <sheetViews>
    <sheetView view="pageBreakPreview" zoomScaleNormal="120" zoomScaleSheetLayoutView="100" workbookViewId="0">
      <selection activeCell="C13" sqref="C13"/>
    </sheetView>
  </sheetViews>
  <sheetFormatPr defaultRowHeight="15.75" x14ac:dyDescent="0.25"/>
  <cols>
    <col min="1" max="1" width="9" style="131" customWidth="1"/>
    <col min="2" max="2" width="68.83203125" style="131" customWidth="1"/>
    <col min="3" max="3" width="18.83203125" style="131" customWidth="1"/>
    <col min="4" max="5" width="18.83203125" style="132" customWidth="1"/>
    <col min="6" max="16384" width="9.33203125" style="149"/>
  </cols>
  <sheetData>
    <row r="1" spans="1:5" x14ac:dyDescent="0.25">
      <c r="A1" s="1314" t="str">
        <f>CONCATENATE("16. melléklet, 1. tájékoztató tábla ",Z_ALAPADATOK!A7," ",Z_ALAPADATOK!B7," ",Z_ALAPADATOK!C7," ",Z_ALAPADATOK!D7," ",Z_ALAPADATOK!E7," ",Z_ALAPADATOK!F7," ",Z_ALAPADATOK!G7," ",Z_ALAPADATOK!H7)</f>
        <v>16. melléklet, 1. tájékoztató tábla a 12 / 2022. ( V.30. ) önkormányzati rendelethez</v>
      </c>
      <c r="B1" s="1315"/>
      <c r="C1" s="1315"/>
      <c r="D1" s="1315"/>
      <c r="E1" s="1315"/>
    </row>
    <row r="2" spans="1:5" x14ac:dyDescent="0.25">
      <c r="A2" s="1316" t="str">
        <f>CONCATENATE(Z_ALAPADATOK!A3)</f>
        <v>Tiszavasvári Város Önkormányzata</v>
      </c>
      <c r="B2" s="1317"/>
      <c r="C2" s="1317"/>
      <c r="D2" s="1317"/>
      <c r="E2" s="1317"/>
    </row>
    <row r="3" spans="1:5" x14ac:dyDescent="0.25">
      <c r="A3" s="1316" t="str">
        <f>CONCATENATE(Z_ALAPADATOK!B1,". ÉVI ZÁRSZÁMADÁSÁNAK PÉNZÜGYI MÉRLEGE")</f>
        <v>2021. ÉVI ZÁRSZÁMADÁSÁNAK PÉNZÜGYI MÉRLEGE</v>
      </c>
      <c r="B3" s="1317"/>
      <c r="C3" s="1317"/>
      <c r="D3" s="1317"/>
      <c r="E3" s="1317"/>
    </row>
    <row r="4" spans="1:5" ht="15.95" customHeight="1" x14ac:dyDescent="0.25">
      <c r="A4" s="1331" t="s">
        <v>3</v>
      </c>
      <c r="B4" s="1331"/>
      <c r="C4" s="1331"/>
      <c r="D4" s="1331"/>
      <c r="E4" s="1331"/>
    </row>
    <row r="5" spans="1:5" ht="15.95" customHeight="1" thickBot="1" x14ac:dyDescent="0.3">
      <c r="A5" s="1333" t="s">
        <v>87</v>
      </c>
      <c r="B5" s="1333"/>
      <c r="C5" s="1405" t="str">
        <f>Z_8.sz.mell!A2</f>
        <v>Forintban</v>
      </c>
      <c r="D5" s="1405"/>
      <c r="E5" s="1405"/>
    </row>
    <row r="6" spans="1:5" ht="15.95" customHeight="1" x14ac:dyDescent="0.25">
      <c r="A6" s="1397" t="s">
        <v>51</v>
      </c>
      <c r="B6" s="1399" t="s">
        <v>5</v>
      </c>
      <c r="C6" s="1401" t="str">
        <f>CONCATENATE(Z_ALAPADATOK!B1-1," évi tény")</f>
        <v>2020 évi tény</v>
      </c>
      <c r="D6" s="1403" t="str">
        <f>CONCATENATE(Z_ALAPADATOK!B1,". évi")</f>
        <v>2021. évi</v>
      </c>
      <c r="E6" s="1404"/>
    </row>
    <row r="7" spans="1:5" ht="38.1" customHeight="1" thickBot="1" x14ac:dyDescent="0.3">
      <c r="A7" s="1398"/>
      <c r="B7" s="1400"/>
      <c r="C7" s="1402"/>
      <c r="D7" s="450" t="s">
        <v>411</v>
      </c>
      <c r="E7" s="246" t="s">
        <v>409</v>
      </c>
    </row>
    <row r="8" spans="1:5" s="150" customFormat="1" ht="12" customHeight="1" thickBot="1" x14ac:dyDescent="0.25">
      <c r="A8" s="451" t="s">
        <v>354</v>
      </c>
      <c r="B8" s="452" t="s">
        <v>355</v>
      </c>
      <c r="C8" s="451" t="s">
        <v>356</v>
      </c>
      <c r="D8" s="452" t="s">
        <v>357</v>
      </c>
      <c r="E8" s="453" t="s">
        <v>359</v>
      </c>
    </row>
    <row r="9" spans="1:5" s="151" customFormat="1" ht="12" customHeight="1" thickBot="1" x14ac:dyDescent="0.25">
      <c r="A9" s="575" t="s">
        <v>6</v>
      </c>
      <c r="B9" s="576" t="s">
        <v>147</v>
      </c>
      <c r="C9" s="1075">
        <v>1383953547</v>
      </c>
      <c r="D9" s="629">
        <f>Z_1.1.sz.mell.!D11</f>
        <v>1634262294</v>
      </c>
      <c r="E9" s="584">
        <f>Z_1.1.sz.mell.!E11</f>
        <v>1521550457</v>
      </c>
    </row>
    <row r="10" spans="1:5" s="151" customFormat="1" ht="12" customHeight="1" x14ac:dyDescent="0.2">
      <c r="A10" s="570" t="s">
        <v>63</v>
      </c>
      <c r="B10" s="589" t="s">
        <v>148</v>
      </c>
      <c r="C10" s="966">
        <v>256986904</v>
      </c>
      <c r="D10" s="204">
        <f>Z_1.1.sz.mell.!D12</f>
        <v>296190577</v>
      </c>
      <c r="E10" s="604">
        <f>Z_1.1.sz.mell.!E12</f>
        <v>296190577</v>
      </c>
    </row>
    <row r="11" spans="1:5" s="151" customFormat="1" ht="12" customHeight="1" x14ac:dyDescent="0.2">
      <c r="A11" s="569" t="s">
        <v>64</v>
      </c>
      <c r="B11" s="590" t="s">
        <v>149</v>
      </c>
      <c r="C11" s="1078">
        <v>250568625</v>
      </c>
      <c r="D11" s="205">
        <f>Z_1.1.sz.mell.!D13</f>
        <v>262755080</v>
      </c>
      <c r="E11" s="578">
        <f>Z_1.1.sz.mell.!E13</f>
        <v>262755080</v>
      </c>
    </row>
    <row r="12" spans="1:5" s="151" customFormat="1" ht="12" customHeight="1" x14ac:dyDescent="0.2">
      <c r="A12" s="569" t="s">
        <v>65</v>
      </c>
      <c r="B12" s="590" t="s">
        <v>787</v>
      </c>
      <c r="C12" s="1078">
        <v>793973650</v>
      </c>
      <c r="D12" s="205">
        <f>Z_1.1.sz.mell.!D14</f>
        <v>828956137</v>
      </c>
      <c r="E12" s="585">
        <f>Z_1.1.sz.mell.!E14</f>
        <v>828956137</v>
      </c>
    </row>
    <row r="13" spans="1:5" s="151" customFormat="1" ht="25.5" customHeight="1" x14ac:dyDescent="0.2">
      <c r="A13" s="569" t="s">
        <v>783</v>
      </c>
      <c r="B13" s="590" t="s">
        <v>785</v>
      </c>
      <c r="C13" s="1078">
        <v>616722342</v>
      </c>
      <c r="D13" s="205">
        <f>Z_1.1.sz.mell.!D15</f>
        <v>640407443</v>
      </c>
      <c r="E13" s="578">
        <f>Z_1.1.sz.mell.!E15</f>
        <v>640407443</v>
      </c>
    </row>
    <row r="14" spans="1:5" s="151" customFormat="1" ht="12" customHeight="1" x14ac:dyDescent="0.2">
      <c r="A14" s="569" t="s">
        <v>784</v>
      </c>
      <c r="B14" s="590" t="s">
        <v>786</v>
      </c>
      <c r="C14" s="1078">
        <v>177251308</v>
      </c>
      <c r="D14" s="205">
        <f>Z_1.1.sz.mell.!D16</f>
        <v>188548694</v>
      </c>
      <c r="E14" s="578">
        <f>Z_1.1.sz.mell.!E16</f>
        <v>188548694</v>
      </c>
    </row>
    <row r="15" spans="1:5" s="151" customFormat="1" ht="12" customHeight="1" x14ac:dyDescent="0.2">
      <c r="A15" s="569" t="s">
        <v>66</v>
      </c>
      <c r="B15" s="590" t="s">
        <v>150</v>
      </c>
      <c r="C15" s="1078">
        <v>38970172</v>
      </c>
      <c r="D15" s="205">
        <f>Z_1.1.sz.mell.!D17</f>
        <v>42308416</v>
      </c>
      <c r="E15" s="578">
        <f>Z_1.1.sz.mell.!E17</f>
        <v>42308416</v>
      </c>
    </row>
    <row r="16" spans="1:5" s="151" customFormat="1" ht="12" customHeight="1" x14ac:dyDescent="0.2">
      <c r="A16" s="569" t="s">
        <v>84</v>
      </c>
      <c r="B16" s="581" t="s">
        <v>306</v>
      </c>
      <c r="C16" s="1078">
        <v>43054095</v>
      </c>
      <c r="D16" s="205">
        <f>Z_1.1.sz.mell.!D18</f>
        <v>202586020</v>
      </c>
      <c r="E16" s="578">
        <f>Z_1.1.sz.mell.!E18</f>
        <v>89874183</v>
      </c>
    </row>
    <row r="17" spans="1:5" s="151" customFormat="1" ht="12" customHeight="1" thickBot="1" x14ac:dyDescent="0.25">
      <c r="A17" s="571" t="s">
        <v>67</v>
      </c>
      <c r="B17" s="582" t="s">
        <v>307</v>
      </c>
      <c r="C17" s="995">
        <v>400101</v>
      </c>
      <c r="D17" s="205">
        <f>Z_1.1.sz.mell.!D19</f>
        <v>1466064</v>
      </c>
      <c r="E17" s="578">
        <f>Z_1.1.sz.mell.!E19</f>
        <v>1466064</v>
      </c>
    </row>
    <row r="18" spans="1:5" s="151" customFormat="1" ht="12" customHeight="1" thickBot="1" x14ac:dyDescent="0.25">
      <c r="A18" s="575" t="s">
        <v>7</v>
      </c>
      <c r="B18" s="580" t="s">
        <v>151</v>
      </c>
      <c r="C18" s="1079">
        <v>218745160</v>
      </c>
      <c r="D18" s="629">
        <f>Z_1.1.sz.mell.!D20</f>
        <v>407991699</v>
      </c>
      <c r="E18" s="584">
        <f>Z_1.1.sz.mell.!E20</f>
        <v>349477031</v>
      </c>
    </row>
    <row r="19" spans="1:5" s="151" customFormat="1" ht="12" customHeight="1" x14ac:dyDescent="0.2">
      <c r="A19" s="570" t="s">
        <v>69</v>
      </c>
      <c r="B19" s="589" t="s">
        <v>152</v>
      </c>
      <c r="C19" s="1077"/>
      <c r="D19" s="627">
        <f>Z_1.1.sz.mell.!D21</f>
        <v>0</v>
      </c>
      <c r="E19" s="604">
        <f>Z_1.1.sz.mell.!E21</f>
        <v>14122</v>
      </c>
    </row>
    <row r="20" spans="1:5" s="151" customFormat="1" ht="12" customHeight="1" x14ac:dyDescent="0.2">
      <c r="A20" s="569" t="s">
        <v>70</v>
      </c>
      <c r="B20" s="590" t="s">
        <v>153</v>
      </c>
      <c r="C20" s="1078"/>
      <c r="D20" s="628">
        <f>Z_1.1.sz.mell.!D22</f>
        <v>0</v>
      </c>
      <c r="E20" s="578">
        <f>Z_1.1.sz.mell.!E22</f>
        <v>0</v>
      </c>
    </row>
    <row r="21" spans="1:5" s="151" customFormat="1" ht="12" customHeight="1" x14ac:dyDescent="0.2">
      <c r="A21" s="569" t="s">
        <v>71</v>
      </c>
      <c r="B21" s="590" t="s">
        <v>298</v>
      </c>
      <c r="C21" s="1078"/>
      <c r="D21" s="628">
        <f>Z_1.1.sz.mell.!D23</f>
        <v>0</v>
      </c>
      <c r="E21" s="578">
        <f>Z_1.1.sz.mell.!E23</f>
        <v>0</v>
      </c>
    </row>
    <row r="22" spans="1:5" s="151" customFormat="1" ht="12" customHeight="1" x14ac:dyDescent="0.2">
      <c r="A22" s="569" t="s">
        <v>72</v>
      </c>
      <c r="B22" s="590" t="s">
        <v>299</v>
      </c>
      <c r="C22" s="1078"/>
      <c r="D22" s="628">
        <f>Z_1.1.sz.mell.!D24</f>
        <v>0</v>
      </c>
      <c r="E22" s="578">
        <f>Z_1.1.sz.mell.!E24</f>
        <v>0</v>
      </c>
    </row>
    <row r="23" spans="1:5" s="151" customFormat="1" ht="12" customHeight="1" x14ac:dyDescent="0.2">
      <c r="A23" s="569" t="s">
        <v>73</v>
      </c>
      <c r="B23" s="590" t="s">
        <v>154</v>
      </c>
      <c r="C23" s="1078">
        <v>218745160</v>
      </c>
      <c r="D23" s="628">
        <f>Z_1.1.sz.mell.!D25</f>
        <v>407991699</v>
      </c>
      <c r="E23" s="578">
        <f>Z_1.1.sz.mell.!E25</f>
        <v>349462909</v>
      </c>
    </row>
    <row r="24" spans="1:5" s="151" customFormat="1" ht="12" customHeight="1" thickBot="1" x14ac:dyDescent="0.25">
      <c r="A24" s="571" t="s">
        <v>79</v>
      </c>
      <c r="B24" s="582" t="s">
        <v>155</v>
      </c>
      <c r="C24" s="961">
        <v>76680478</v>
      </c>
      <c r="D24" s="143">
        <f>Z_1.1.sz.mell.!D26</f>
        <v>131495850</v>
      </c>
      <c r="E24" s="579">
        <f>Z_1.1.sz.mell.!E26</f>
        <v>100718749</v>
      </c>
    </row>
    <row r="25" spans="1:5" s="151" customFormat="1" ht="12" customHeight="1" thickBot="1" x14ac:dyDescent="0.25">
      <c r="A25" s="575" t="s">
        <v>8</v>
      </c>
      <c r="B25" s="576" t="s">
        <v>156</v>
      </c>
      <c r="C25" s="1079">
        <v>283396180</v>
      </c>
      <c r="D25" s="629">
        <f>Z_1.1.sz.mell.!D27</f>
        <v>2069703421</v>
      </c>
      <c r="E25" s="584">
        <f>Z_1.1.sz.mell.!E27</f>
        <v>2057307126</v>
      </c>
    </row>
    <row r="26" spans="1:5" s="151" customFormat="1" ht="12" customHeight="1" x14ac:dyDescent="0.2">
      <c r="A26" s="570" t="s">
        <v>52</v>
      </c>
      <c r="B26" s="589" t="s">
        <v>157</v>
      </c>
      <c r="C26" s="1077">
        <v>34619116</v>
      </c>
      <c r="D26" s="627">
        <f>Z_1.1.sz.mell.!D28</f>
        <v>1318500100</v>
      </c>
      <c r="E26" s="604">
        <f>Z_1.1.sz.mell.!E28</f>
        <v>1315000000</v>
      </c>
    </row>
    <row r="27" spans="1:5" s="151" customFormat="1" ht="12" customHeight="1" x14ac:dyDescent="0.2">
      <c r="A27" s="569" t="s">
        <v>53</v>
      </c>
      <c r="B27" s="590" t="s">
        <v>158</v>
      </c>
      <c r="C27" s="1078"/>
      <c r="D27" s="628">
        <f>Z_1.1.sz.mell.!D29</f>
        <v>0</v>
      </c>
      <c r="E27" s="578">
        <f>Z_1.1.sz.mell.!E29</f>
        <v>0</v>
      </c>
    </row>
    <row r="28" spans="1:5" s="151" customFormat="1" ht="12" customHeight="1" x14ac:dyDescent="0.2">
      <c r="A28" s="569" t="s">
        <v>54</v>
      </c>
      <c r="B28" s="590" t="s">
        <v>300</v>
      </c>
      <c r="C28" s="1078"/>
      <c r="D28" s="628">
        <f>Z_1.1.sz.mell.!D30</f>
        <v>0</v>
      </c>
      <c r="E28" s="578">
        <f>Z_1.1.sz.mell.!E30</f>
        <v>0</v>
      </c>
    </row>
    <row r="29" spans="1:5" s="151" customFormat="1" ht="12" customHeight="1" x14ac:dyDescent="0.2">
      <c r="A29" s="569" t="s">
        <v>55</v>
      </c>
      <c r="B29" s="590" t="s">
        <v>301</v>
      </c>
      <c r="C29" s="1078"/>
      <c r="D29" s="628">
        <f>Z_1.1.sz.mell.!D31</f>
        <v>0</v>
      </c>
      <c r="E29" s="578">
        <f>Z_1.1.sz.mell.!E31</f>
        <v>0</v>
      </c>
    </row>
    <row r="30" spans="1:5" s="151" customFormat="1" ht="12" customHeight="1" x14ac:dyDescent="0.2">
      <c r="A30" s="569" t="s">
        <v>97</v>
      </c>
      <c r="B30" s="590" t="s">
        <v>159</v>
      </c>
      <c r="C30" s="1078">
        <v>248777064</v>
      </c>
      <c r="D30" s="628">
        <f>Z_1.1.sz.mell.!D32</f>
        <v>751203321</v>
      </c>
      <c r="E30" s="578">
        <f>Z_1.1.sz.mell.!E32</f>
        <v>742307126</v>
      </c>
    </row>
    <row r="31" spans="1:5" s="151" customFormat="1" ht="12" customHeight="1" thickBot="1" x14ac:dyDescent="0.25">
      <c r="A31" s="571" t="s">
        <v>98</v>
      </c>
      <c r="B31" s="591" t="s">
        <v>160</v>
      </c>
      <c r="C31" s="961">
        <v>239136377</v>
      </c>
      <c r="D31" s="143">
        <f>Z_1.1.sz.mell.!D33</f>
        <v>80423773</v>
      </c>
      <c r="E31" s="579">
        <f>Z_1.1.sz.mell.!E33</f>
        <v>71627578</v>
      </c>
    </row>
    <row r="32" spans="1:5" s="151" customFormat="1" ht="12" customHeight="1" thickBot="1" x14ac:dyDescent="0.25">
      <c r="A32" s="575" t="s">
        <v>9</v>
      </c>
      <c r="B32" s="576" t="s">
        <v>798</v>
      </c>
      <c r="C32" s="964">
        <v>318511494</v>
      </c>
      <c r="D32" s="146">
        <f>Z_1.1.sz.mell.!D34</f>
        <v>398600000</v>
      </c>
      <c r="E32" s="587">
        <f>Z_1.1.sz.mell.!E34</f>
        <v>368475820</v>
      </c>
    </row>
    <row r="33" spans="1:5" s="151" customFormat="1" ht="12" customHeight="1" x14ac:dyDescent="0.2">
      <c r="A33" s="570" t="s">
        <v>161</v>
      </c>
      <c r="B33" s="589" t="s">
        <v>790</v>
      </c>
      <c r="C33" s="1077">
        <v>306301683</v>
      </c>
      <c r="D33" s="627">
        <f>Z_1.1.sz.mell.!D35</f>
        <v>385080000</v>
      </c>
      <c r="E33" s="586">
        <f>Z_1.1.sz.mell.!E35</f>
        <v>354087632</v>
      </c>
    </row>
    <row r="34" spans="1:5" s="151" customFormat="1" ht="12" customHeight="1" x14ac:dyDescent="0.2">
      <c r="A34" s="569" t="s">
        <v>791</v>
      </c>
      <c r="B34" s="589" t="s">
        <v>792</v>
      </c>
      <c r="C34" s="1078">
        <v>83640757</v>
      </c>
      <c r="D34" s="628">
        <f>Z_1.1.sz.mell.!D36</f>
        <v>88280000</v>
      </c>
      <c r="E34" s="578">
        <f>Z_1.1.sz.mell.!E36</f>
        <v>91977110</v>
      </c>
    </row>
    <row r="35" spans="1:5" s="151" customFormat="1" ht="12" customHeight="1" x14ac:dyDescent="0.2">
      <c r="A35" s="569" t="s">
        <v>793</v>
      </c>
      <c r="B35" s="589" t="s">
        <v>794</v>
      </c>
      <c r="C35" s="1078">
        <v>222660926</v>
      </c>
      <c r="D35" s="628">
        <f>Z_1.1.sz.mell.!D37</f>
        <v>296800000</v>
      </c>
      <c r="E35" s="578">
        <f>Z_1.1.sz.mell.!E37</f>
        <v>262110522</v>
      </c>
    </row>
    <row r="36" spans="1:5" s="151" customFormat="1" ht="12" customHeight="1" x14ac:dyDescent="0.2">
      <c r="A36" s="569" t="s">
        <v>162</v>
      </c>
      <c r="B36" s="589" t="s">
        <v>795</v>
      </c>
      <c r="C36" s="1078">
        <v>914</v>
      </c>
      <c r="D36" s="628">
        <f>Z_1.1.sz.mell.!D38</f>
        <v>0</v>
      </c>
      <c r="E36" s="578">
        <f>Z_1.1.sz.mell.!E38</f>
        <v>1</v>
      </c>
    </row>
    <row r="37" spans="1:5" s="151" customFormat="1" ht="12" customHeight="1" x14ac:dyDescent="0.2">
      <c r="A37" s="569" t="s">
        <v>163</v>
      </c>
      <c r="B37" s="589" t="s">
        <v>796</v>
      </c>
      <c r="C37" s="1078">
        <v>194100</v>
      </c>
      <c r="D37" s="628">
        <f>Z_1.1.sz.mell.!D39</f>
        <v>0</v>
      </c>
      <c r="E37" s="578">
        <f>Z_1.1.sz.mell.!E39</f>
        <v>774900</v>
      </c>
    </row>
    <row r="38" spans="1:5" s="151" customFormat="1" ht="12" customHeight="1" thickBot="1" x14ac:dyDescent="0.25">
      <c r="A38" s="569" t="s">
        <v>164</v>
      </c>
      <c r="B38" s="589" t="s">
        <v>797</v>
      </c>
      <c r="C38" s="1078">
        <v>12014797</v>
      </c>
      <c r="D38" s="628">
        <f>Z_1.1.sz.mell.!D40</f>
        <v>13520000</v>
      </c>
      <c r="E38" s="578">
        <f>Z_1.1.sz.mell.!E40</f>
        <v>13613287</v>
      </c>
    </row>
    <row r="39" spans="1:5" s="151" customFormat="1" ht="12" customHeight="1" thickBot="1" x14ac:dyDescent="0.25">
      <c r="A39" s="575" t="s">
        <v>10</v>
      </c>
      <c r="B39" s="576" t="s">
        <v>308</v>
      </c>
      <c r="C39" s="1079">
        <v>334062033</v>
      </c>
      <c r="D39" s="629">
        <f>Z_1.1.sz.mell.!D41</f>
        <v>368229537</v>
      </c>
      <c r="E39" s="584">
        <f>Z_1.1.sz.mell.!E41</f>
        <v>317885957</v>
      </c>
    </row>
    <row r="40" spans="1:5" s="151" customFormat="1" ht="12" customHeight="1" x14ac:dyDescent="0.2">
      <c r="A40" s="570" t="s">
        <v>56</v>
      </c>
      <c r="B40" s="589" t="s">
        <v>167</v>
      </c>
      <c r="C40" s="1077">
        <v>8209247</v>
      </c>
      <c r="D40" s="627">
        <f>Z_1.1.sz.mell.!D42</f>
        <v>0</v>
      </c>
      <c r="E40" s="604">
        <f>Z_1.1.sz.mell.!E42</f>
        <v>1619390</v>
      </c>
    </row>
    <row r="41" spans="1:5" s="151" customFormat="1" ht="12" customHeight="1" x14ac:dyDescent="0.2">
      <c r="A41" s="569" t="s">
        <v>57</v>
      </c>
      <c r="B41" s="590" t="s">
        <v>168</v>
      </c>
      <c r="C41" s="1078">
        <v>69205220</v>
      </c>
      <c r="D41" s="628">
        <f>Z_1.1.sz.mell.!D43</f>
        <v>64734315</v>
      </c>
      <c r="E41" s="578">
        <f>Z_1.1.sz.mell.!E43</f>
        <v>45845126</v>
      </c>
    </row>
    <row r="42" spans="1:5" s="151" customFormat="1" ht="12" customHeight="1" x14ac:dyDescent="0.2">
      <c r="A42" s="569" t="s">
        <v>58</v>
      </c>
      <c r="B42" s="590" t="s">
        <v>169</v>
      </c>
      <c r="C42" s="1078">
        <v>17680191</v>
      </c>
      <c r="D42" s="628">
        <f>Z_1.1.sz.mell.!D44</f>
        <v>29233899</v>
      </c>
      <c r="E42" s="578">
        <f>Z_1.1.sz.mell.!E44</f>
        <v>27776680</v>
      </c>
    </row>
    <row r="43" spans="1:5" s="151" customFormat="1" ht="12" customHeight="1" x14ac:dyDescent="0.2">
      <c r="A43" s="569" t="s">
        <v>101</v>
      </c>
      <c r="B43" s="590" t="s">
        <v>170</v>
      </c>
      <c r="C43" s="1078">
        <v>3774152</v>
      </c>
      <c r="D43" s="628">
        <f>Z_1.1.sz.mell.!D45</f>
        <v>6822173</v>
      </c>
      <c r="E43" s="578">
        <f>Z_1.1.sz.mell.!E45</f>
        <v>6598332</v>
      </c>
    </row>
    <row r="44" spans="1:5" s="151" customFormat="1" ht="12" customHeight="1" x14ac:dyDescent="0.2">
      <c r="A44" s="569" t="s">
        <v>102</v>
      </c>
      <c r="B44" s="590" t="s">
        <v>171</v>
      </c>
      <c r="C44" s="1078">
        <v>176293968</v>
      </c>
      <c r="D44" s="628">
        <f>Z_1.1.sz.mell.!D46</f>
        <v>199444919</v>
      </c>
      <c r="E44" s="578">
        <f>Z_1.1.sz.mell.!E46</f>
        <v>176343061</v>
      </c>
    </row>
    <row r="45" spans="1:5" s="151" customFormat="1" ht="12" customHeight="1" x14ac:dyDescent="0.2">
      <c r="A45" s="569" t="s">
        <v>103</v>
      </c>
      <c r="B45" s="590" t="s">
        <v>172</v>
      </c>
      <c r="C45" s="1078">
        <v>20117811</v>
      </c>
      <c r="D45" s="628">
        <f>Z_1.1.sz.mell.!D47</f>
        <v>24329911</v>
      </c>
      <c r="E45" s="578">
        <f>Z_1.1.sz.mell.!E47</f>
        <v>18454925</v>
      </c>
    </row>
    <row r="46" spans="1:5" s="151" customFormat="1" ht="12" customHeight="1" x14ac:dyDescent="0.2">
      <c r="A46" s="569" t="s">
        <v>104</v>
      </c>
      <c r="B46" s="590" t="s">
        <v>173</v>
      </c>
      <c r="C46" s="1078">
        <v>2550000</v>
      </c>
      <c r="D46" s="628">
        <f>Z_1.1.sz.mell.!D48</f>
        <v>37770645</v>
      </c>
      <c r="E46" s="578">
        <f>Z_1.1.sz.mell.!E48</f>
        <v>15350000</v>
      </c>
    </row>
    <row r="47" spans="1:5" s="151" customFormat="1" ht="12" customHeight="1" x14ac:dyDescent="0.2">
      <c r="A47" s="569" t="s">
        <v>105</v>
      </c>
      <c r="B47" s="590" t="s">
        <v>435</v>
      </c>
      <c r="C47" s="1078">
        <v>153</v>
      </c>
      <c r="D47" s="628">
        <f>Z_1.1.sz.mell.!D49</f>
        <v>0</v>
      </c>
      <c r="E47" s="578">
        <f>Z_1.1.sz.mell.!E49</f>
        <v>5910</v>
      </c>
    </row>
    <row r="48" spans="1:5" s="151" customFormat="1" ht="12" customHeight="1" x14ac:dyDescent="0.2">
      <c r="A48" s="569" t="s">
        <v>165</v>
      </c>
      <c r="B48" s="590" t="s">
        <v>175</v>
      </c>
      <c r="C48" s="962"/>
      <c r="D48" s="144">
        <f>Z_1.1.sz.mell.!D50</f>
        <v>0</v>
      </c>
      <c r="E48" s="602">
        <f>Z_1.1.sz.mell.!E50</f>
        <v>0</v>
      </c>
    </row>
    <row r="49" spans="1:5" s="151" customFormat="1" ht="12" customHeight="1" x14ac:dyDescent="0.2">
      <c r="A49" s="571" t="s">
        <v>166</v>
      </c>
      <c r="B49" s="591" t="s">
        <v>310</v>
      </c>
      <c r="C49" s="963">
        <v>1278624</v>
      </c>
      <c r="D49" s="145">
        <f>Z_1.1.sz.mell.!D51</f>
        <v>1000000</v>
      </c>
      <c r="E49" s="603">
        <f>Z_1.1.sz.mell.!E51</f>
        <v>17361516</v>
      </c>
    </row>
    <row r="50" spans="1:5" s="151" customFormat="1" ht="12" customHeight="1" thickBot="1" x14ac:dyDescent="0.25">
      <c r="A50" s="571" t="s">
        <v>309</v>
      </c>
      <c r="B50" s="582" t="s">
        <v>176</v>
      </c>
      <c r="C50" s="963">
        <v>34952667</v>
      </c>
      <c r="D50" s="145">
        <f>Z_1.1.sz.mell.!D52</f>
        <v>4893675</v>
      </c>
      <c r="E50" s="603">
        <f>Z_1.1.sz.mell.!E52</f>
        <v>8531017</v>
      </c>
    </row>
    <row r="51" spans="1:5" s="151" customFormat="1" ht="12" customHeight="1" thickBot="1" x14ac:dyDescent="0.25">
      <c r="A51" s="575" t="s">
        <v>11</v>
      </c>
      <c r="B51" s="576" t="s">
        <v>177</v>
      </c>
      <c r="C51" s="1079">
        <v>8433198</v>
      </c>
      <c r="D51" s="629">
        <f>Z_1.1.sz.mell.!D53</f>
        <v>63000000</v>
      </c>
      <c r="E51" s="584">
        <f>Z_1.1.sz.mell.!E53</f>
        <v>24015126</v>
      </c>
    </row>
    <row r="52" spans="1:5" s="151" customFormat="1" ht="12" customHeight="1" x14ac:dyDescent="0.2">
      <c r="A52" s="570" t="s">
        <v>59</v>
      </c>
      <c r="B52" s="589" t="s">
        <v>181</v>
      </c>
      <c r="C52" s="965">
        <v>8058657</v>
      </c>
      <c r="D52" s="183">
        <f>Z_1.1.sz.mell.!D54</f>
        <v>0</v>
      </c>
      <c r="E52" s="605">
        <f>Z_1.1.sz.mell.!E54</f>
        <v>0</v>
      </c>
    </row>
    <row r="53" spans="1:5" s="151" customFormat="1" ht="12" customHeight="1" x14ac:dyDescent="0.2">
      <c r="A53" s="569" t="s">
        <v>60</v>
      </c>
      <c r="B53" s="590" t="s">
        <v>182</v>
      </c>
      <c r="C53" s="962"/>
      <c r="D53" s="144">
        <f>Z_1.1.sz.mell.!D55</f>
        <v>63000000</v>
      </c>
      <c r="E53" s="602">
        <f>Z_1.1.sz.mell.!E55</f>
        <v>23960843</v>
      </c>
    </row>
    <row r="54" spans="1:5" s="151" customFormat="1" ht="12" customHeight="1" x14ac:dyDescent="0.2">
      <c r="A54" s="569" t="s">
        <v>178</v>
      </c>
      <c r="B54" s="590" t="s">
        <v>183</v>
      </c>
      <c r="C54" s="962">
        <v>44541</v>
      </c>
      <c r="D54" s="144">
        <f>Z_1.1.sz.mell.!D56</f>
        <v>0</v>
      </c>
      <c r="E54" s="602">
        <f>Z_1.1.sz.mell.!E56</f>
        <v>54283</v>
      </c>
    </row>
    <row r="55" spans="1:5" s="151" customFormat="1" ht="12.75" x14ac:dyDescent="0.2">
      <c r="A55" s="569" t="s">
        <v>179</v>
      </c>
      <c r="B55" s="590" t="s">
        <v>184</v>
      </c>
      <c r="C55" s="962"/>
      <c r="D55" s="144">
        <f>Z_1.1.sz.mell.!D57</f>
        <v>0</v>
      </c>
      <c r="E55" s="602">
        <f>Z_1.1.sz.mell.!E57</f>
        <v>0</v>
      </c>
    </row>
    <row r="56" spans="1:5" s="151" customFormat="1" ht="13.5" thickBot="1" x14ac:dyDescent="0.25">
      <c r="A56" s="571" t="s">
        <v>180</v>
      </c>
      <c r="B56" s="582" t="s">
        <v>185</v>
      </c>
      <c r="C56" s="963">
        <v>330000</v>
      </c>
      <c r="D56" s="145">
        <f>Z_1.1.sz.mell.!D58</f>
        <v>0</v>
      </c>
      <c r="E56" s="603">
        <f>Z_1.1.sz.mell.!E58</f>
        <v>0</v>
      </c>
    </row>
    <row r="57" spans="1:5" s="151" customFormat="1" ht="14.45" customHeight="1" thickBot="1" x14ac:dyDescent="0.25">
      <c r="A57" s="575" t="s">
        <v>106</v>
      </c>
      <c r="B57" s="576" t="s">
        <v>186</v>
      </c>
      <c r="C57" s="1079">
        <v>2494416</v>
      </c>
      <c r="D57" s="629">
        <f>Z_1.1.sz.mell.!D59</f>
        <v>15082586</v>
      </c>
      <c r="E57" s="584">
        <f>Z_1.1.sz.mell.!E59</f>
        <v>14672429</v>
      </c>
    </row>
    <row r="58" spans="1:5" s="151" customFormat="1" ht="12.75" x14ac:dyDescent="0.2">
      <c r="A58" s="570" t="s">
        <v>61</v>
      </c>
      <c r="B58" s="589" t="s">
        <v>187</v>
      </c>
      <c r="C58" s="1077"/>
      <c r="D58" s="627">
        <f>Z_1.1.sz.mell.!D60</f>
        <v>1000000</v>
      </c>
      <c r="E58" s="604">
        <f>Z_1.1.sz.mell.!E60</f>
        <v>323648</v>
      </c>
    </row>
    <row r="59" spans="1:5" s="151" customFormat="1" ht="12.75" x14ac:dyDescent="0.2">
      <c r="A59" s="569" t="s">
        <v>62</v>
      </c>
      <c r="B59" s="590" t="s">
        <v>302</v>
      </c>
      <c r="C59" s="1078">
        <v>540368</v>
      </c>
      <c r="D59" s="628">
        <f>Z_1.1.sz.mell.!D61</f>
        <v>200000</v>
      </c>
      <c r="E59" s="578">
        <f>Z_1.1.sz.mell.!E61</f>
        <v>431905</v>
      </c>
    </row>
    <row r="60" spans="1:5" s="151" customFormat="1" ht="12.75" x14ac:dyDescent="0.2">
      <c r="A60" s="569" t="s">
        <v>190</v>
      </c>
      <c r="B60" s="590" t="s">
        <v>188</v>
      </c>
      <c r="C60" s="1078">
        <v>1954048</v>
      </c>
      <c r="D60" s="628">
        <f>Z_1.1.sz.mell.!D62</f>
        <v>13882586</v>
      </c>
      <c r="E60" s="578">
        <f>Z_1.1.sz.mell.!E62</f>
        <v>13916876</v>
      </c>
    </row>
    <row r="61" spans="1:5" s="151" customFormat="1" ht="13.5" thickBot="1" x14ac:dyDescent="0.25">
      <c r="A61" s="571" t="s">
        <v>191</v>
      </c>
      <c r="B61" s="582" t="s">
        <v>189</v>
      </c>
      <c r="C61" s="961"/>
      <c r="D61" s="143">
        <f>Z_1.1.sz.mell.!D63</f>
        <v>0</v>
      </c>
      <c r="E61" s="579">
        <f>Z_1.1.sz.mell.!E63</f>
        <v>0</v>
      </c>
    </row>
    <row r="62" spans="1:5" s="151" customFormat="1" ht="12.75" customHeight="1" thickBot="1" x14ac:dyDescent="0.25">
      <c r="A62" s="575" t="s">
        <v>13</v>
      </c>
      <c r="B62" s="580" t="s">
        <v>192</v>
      </c>
      <c r="C62" s="1079">
        <v>11510400</v>
      </c>
      <c r="D62" s="629">
        <f>Z_1.1.sz.mell.!D64</f>
        <v>250000</v>
      </c>
      <c r="E62" s="584">
        <f>Z_1.1.sz.mell.!E64</f>
        <v>250000</v>
      </c>
    </row>
    <row r="63" spans="1:5" s="151" customFormat="1" ht="12.75" x14ac:dyDescent="0.2">
      <c r="A63" s="570" t="s">
        <v>107</v>
      </c>
      <c r="B63" s="589" t="s">
        <v>194</v>
      </c>
      <c r="C63" s="962"/>
      <c r="D63" s="144">
        <f>Z_1.1.sz.mell.!D65</f>
        <v>0</v>
      </c>
      <c r="E63" s="602">
        <f>Z_1.1.sz.mell.!E65</f>
        <v>0</v>
      </c>
    </row>
    <row r="64" spans="1:5" s="151" customFormat="1" ht="12.75" x14ac:dyDescent="0.2">
      <c r="A64" s="569" t="s">
        <v>108</v>
      </c>
      <c r="B64" s="590" t="s">
        <v>303</v>
      </c>
      <c r="C64" s="962"/>
      <c r="D64" s="144">
        <f>Z_1.1.sz.mell.!D66</f>
        <v>0</v>
      </c>
      <c r="E64" s="602">
        <f>Z_1.1.sz.mell.!E66</f>
        <v>0</v>
      </c>
    </row>
    <row r="65" spans="1:5" s="151" customFormat="1" ht="12.75" x14ac:dyDescent="0.2">
      <c r="A65" s="569" t="s">
        <v>131</v>
      </c>
      <c r="B65" s="590" t="s">
        <v>195</v>
      </c>
      <c r="C65" s="962">
        <v>11510400</v>
      </c>
      <c r="D65" s="144">
        <f>Z_1.1.sz.mell.!D67</f>
        <v>250000</v>
      </c>
      <c r="E65" s="602">
        <f>Z_1.1.sz.mell.!E67</f>
        <v>250000</v>
      </c>
    </row>
    <row r="66" spans="1:5" s="151" customFormat="1" ht="13.5" thickBot="1" x14ac:dyDescent="0.25">
      <c r="A66" s="571" t="s">
        <v>193</v>
      </c>
      <c r="B66" s="582" t="s">
        <v>196</v>
      </c>
      <c r="C66" s="962">
        <v>5060400</v>
      </c>
      <c r="D66" s="144">
        <f>Z_1.1.sz.mell.!D68</f>
        <v>0</v>
      </c>
      <c r="E66" s="602">
        <f>Z_1.1.sz.mell.!E68</f>
        <v>0</v>
      </c>
    </row>
    <row r="67" spans="1:5" s="151" customFormat="1" ht="13.5" thickBot="1" x14ac:dyDescent="0.25">
      <c r="A67" s="597" t="s">
        <v>348</v>
      </c>
      <c r="B67" s="576" t="s">
        <v>197</v>
      </c>
      <c r="C67" s="964">
        <v>2561106428</v>
      </c>
      <c r="D67" s="146">
        <f>Z_1.1.sz.mell.!D69</f>
        <v>4957119537</v>
      </c>
      <c r="E67" s="587">
        <f>Z_1.1.sz.mell.!E69</f>
        <v>4653633946</v>
      </c>
    </row>
    <row r="68" spans="1:5" s="151" customFormat="1" ht="13.5" thickBot="1" x14ac:dyDescent="0.25">
      <c r="A68" s="598" t="s">
        <v>198</v>
      </c>
      <c r="B68" s="580" t="s">
        <v>199</v>
      </c>
      <c r="C68" s="1079">
        <v>842474481</v>
      </c>
      <c r="D68" s="629">
        <f>Z_1.1.sz.mell.!D70</f>
        <v>1189060316</v>
      </c>
      <c r="E68" s="584">
        <f>Z_1.1.sz.mell.!E70</f>
        <v>1015000568</v>
      </c>
    </row>
    <row r="69" spans="1:5" s="151" customFormat="1" ht="12.75" x14ac:dyDescent="0.2">
      <c r="A69" s="570" t="s">
        <v>226</v>
      </c>
      <c r="B69" s="589" t="s">
        <v>200</v>
      </c>
      <c r="C69" s="962">
        <v>21319241</v>
      </c>
      <c r="D69" s="144">
        <f>Z_1.1.sz.mell.!D71</f>
        <v>185562529</v>
      </c>
      <c r="E69" s="602">
        <f>Z_1.1.sz.mell.!E71</f>
        <v>11502781</v>
      </c>
    </row>
    <row r="70" spans="1:5" s="151" customFormat="1" ht="12.75" x14ac:dyDescent="0.2">
      <c r="A70" s="569" t="s">
        <v>235</v>
      </c>
      <c r="B70" s="590" t="s">
        <v>201</v>
      </c>
      <c r="C70" s="962">
        <v>821155240</v>
      </c>
      <c r="D70" s="144">
        <f>Z_1.1.sz.mell.!D72</f>
        <v>1003497787</v>
      </c>
      <c r="E70" s="602">
        <f>Z_1.1.sz.mell.!E72</f>
        <v>1003497787</v>
      </c>
    </row>
    <row r="71" spans="1:5" s="151" customFormat="1" ht="13.5" thickBot="1" x14ac:dyDescent="0.25">
      <c r="A71" s="571" t="s">
        <v>236</v>
      </c>
      <c r="B71" s="599" t="s">
        <v>333</v>
      </c>
      <c r="C71" s="962"/>
      <c r="D71" s="144">
        <f>Z_1.1.sz.mell.!D73</f>
        <v>0</v>
      </c>
      <c r="E71" s="602">
        <f>Z_1.1.sz.mell.!E73</f>
        <v>0</v>
      </c>
    </row>
    <row r="72" spans="1:5" s="151" customFormat="1" ht="13.5" thickBot="1" x14ac:dyDescent="0.25">
      <c r="A72" s="598" t="s">
        <v>202</v>
      </c>
      <c r="B72" s="580" t="s">
        <v>203</v>
      </c>
      <c r="C72" s="1079"/>
      <c r="D72" s="629">
        <f>Z_1.1.sz.mell.!D74</f>
        <v>0</v>
      </c>
      <c r="E72" s="584">
        <f>Z_1.1.sz.mell.!E74</f>
        <v>0</v>
      </c>
    </row>
    <row r="73" spans="1:5" s="151" customFormat="1" ht="12" customHeight="1" x14ac:dyDescent="0.2">
      <c r="A73" s="570" t="s">
        <v>85</v>
      </c>
      <c r="B73" s="244" t="s">
        <v>204</v>
      </c>
      <c r="C73" s="962"/>
      <c r="D73" s="144">
        <f>Z_1.1.sz.mell.!D75</f>
        <v>0</v>
      </c>
      <c r="E73" s="602">
        <f>Z_1.1.sz.mell.!E75</f>
        <v>0</v>
      </c>
    </row>
    <row r="74" spans="1:5" s="151" customFormat="1" ht="12" customHeight="1" x14ac:dyDescent="0.2">
      <c r="A74" s="569" t="s">
        <v>86</v>
      </c>
      <c r="B74" s="244" t="s">
        <v>442</v>
      </c>
      <c r="C74" s="962"/>
      <c r="D74" s="144">
        <f>Z_1.1.sz.mell.!D76</f>
        <v>0</v>
      </c>
      <c r="E74" s="602">
        <f>Z_1.1.sz.mell.!E76</f>
        <v>0</v>
      </c>
    </row>
    <row r="75" spans="1:5" s="151" customFormat="1" ht="12" customHeight="1" x14ac:dyDescent="0.2">
      <c r="A75" s="569" t="s">
        <v>227</v>
      </c>
      <c r="B75" s="244" t="s">
        <v>205</v>
      </c>
      <c r="C75" s="962"/>
      <c r="D75" s="144">
        <f>Z_1.1.sz.mell.!D77</f>
        <v>0</v>
      </c>
      <c r="E75" s="602">
        <f>Z_1.1.sz.mell.!E77</f>
        <v>0</v>
      </c>
    </row>
    <row r="76" spans="1:5" s="151" customFormat="1" ht="12" customHeight="1" thickBot="1" x14ac:dyDescent="0.25">
      <c r="A76" s="571" t="s">
        <v>228</v>
      </c>
      <c r="B76" s="245" t="s">
        <v>443</v>
      </c>
      <c r="C76" s="962"/>
      <c r="D76" s="144">
        <f>Z_1.1.sz.mell.!D78</f>
        <v>0</v>
      </c>
      <c r="E76" s="602">
        <f>Z_1.1.sz.mell.!E78</f>
        <v>0</v>
      </c>
    </row>
    <row r="77" spans="1:5" s="151" customFormat="1" ht="12" customHeight="1" thickBot="1" x14ac:dyDescent="0.25">
      <c r="A77" s="598" t="s">
        <v>206</v>
      </c>
      <c r="B77" s="580" t="s">
        <v>207</v>
      </c>
      <c r="C77" s="1079">
        <v>933051850</v>
      </c>
      <c r="D77" s="629">
        <f>Z_1.1.sz.mell.!D79</f>
        <v>856482639</v>
      </c>
      <c r="E77" s="584">
        <f>Z_1.1.sz.mell.!E79</f>
        <v>856482639</v>
      </c>
    </row>
    <row r="78" spans="1:5" s="151" customFormat="1" ht="12" customHeight="1" x14ac:dyDescent="0.2">
      <c r="A78" s="570" t="s">
        <v>229</v>
      </c>
      <c r="B78" s="589" t="s">
        <v>208</v>
      </c>
      <c r="C78" s="962">
        <v>933051850</v>
      </c>
      <c r="D78" s="144">
        <f>Z_1.1.sz.mell.!D80</f>
        <v>856482639</v>
      </c>
      <c r="E78" s="602">
        <f>Z_1.1.sz.mell.!E80</f>
        <v>856325728</v>
      </c>
    </row>
    <row r="79" spans="1:5" s="151" customFormat="1" ht="12" customHeight="1" thickBot="1" x14ac:dyDescent="0.25">
      <c r="A79" s="571" t="s">
        <v>230</v>
      </c>
      <c r="B79" s="582" t="s">
        <v>209</v>
      </c>
      <c r="C79" s="962"/>
      <c r="D79" s="144">
        <f>Z_1.1.sz.mell.!D81</f>
        <v>0</v>
      </c>
      <c r="E79" s="602">
        <f>Z_1.1.sz.mell.!E81</f>
        <v>156911</v>
      </c>
    </row>
    <row r="80" spans="1:5" s="151" customFormat="1" ht="12" customHeight="1" thickBot="1" x14ac:dyDescent="0.25">
      <c r="A80" s="598" t="s">
        <v>210</v>
      </c>
      <c r="B80" s="580" t="s">
        <v>211</v>
      </c>
      <c r="C80" s="1079">
        <v>48966750</v>
      </c>
      <c r="D80" s="629">
        <f>Z_1.1.sz.mell.!D82</f>
        <v>48966750</v>
      </c>
      <c r="E80" s="584">
        <f>Z_1.1.sz.mell.!E82</f>
        <v>55076107</v>
      </c>
    </row>
    <row r="81" spans="1:5" s="151" customFormat="1" ht="12" customHeight="1" x14ac:dyDescent="0.2">
      <c r="A81" s="570" t="s">
        <v>231</v>
      </c>
      <c r="B81" s="589" t="s">
        <v>212</v>
      </c>
      <c r="C81" s="962">
        <v>48966750</v>
      </c>
      <c r="D81" s="144">
        <f>Z_1.1.sz.mell.!D83</f>
        <v>48966750</v>
      </c>
      <c r="E81" s="602">
        <f>Z_1.1.sz.mell.!E83</f>
        <v>55076107</v>
      </c>
    </row>
    <row r="82" spans="1:5" s="151" customFormat="1" ht="12" customHeight="1" x14ac:dyDescent="0.2">
      <c r="A82" s="569" t="s">
        <v>232</v>
      </c>
      <c r="B82" s="590" t="s">
        <v>213</v>
      </c>
      <c r="C82" s="962"/>
      <c r="D82" s="144">
        <f>Z_1.1.sz.mell.!D84</f>
        <v>0</v>
      </c>
      <c r="E82" s="602">
        <f>Z_1.1.sz.mell.!E84</f>
        <v>0</v>
      </c>
    </row>
    <row r="83" spans="1:5" s="151" customFormat="1" ht="12" customHeight="1" thickBot="1" x14ac:dyDescent="0.25">
      <c r="A83" s="571" t="s">
        <v>233</v>
      </c>
      <c r="B83" s="582" t="s">
        <v>444</v>
      </c>
      <c r="C83" s="962"/>
      <c r="D83" s="144">
        <f>Z_1.1.sz.mell.!D85</f>
        <v>0</v>
      </c>
      <c r="E83" s="602">
        <f>Z_1.1.sz.mell.!E85</f>
        <v>0</v>
      </c>
    </row>
    <row r="84" spans="1:5" s="151" customFormat="1" ht="12" customHeight="1" thickBot="1" x14ac:dyDescent="0.25">
      <c r="A84" s="598" t="s">
        <v>214</v>
      </c>
      <c r="B84" s="580" t="s">
        <v>234</v>
      </c>
      <c r="C84" s="1079"/>
      <c r="D84" s="629">
        <f>Z_1.1.sz.mell.!D86</f>
        <v>0</v>
      </c>
      <c r="E84" s="584">
        <f>Z_1.1.sz.mell.!E86</f>
        <v>0</v>
      </c>
    </row>
    <row r="85" spans="1:5" s="151" customFormat="1" ht="12" customHeight="1" x14ac:dyDescent="0.2">
      <c r="A85" s="592" t="s">
        <v>215</v>
      </c>
      <c r="B85" s="589" t="s">
        <v>216</v>
      </c>
      <c r="C85" s="962"/>
      <c r="D85" s="144">
        <f>Z_1.1.sz.mell.!D87</f>
        <v>0</v>
      </c>
      <c r="E85" s="602">
        <f>Z_1.1.sz.mell.!E87</f>
        <v>0</v>
      </c>
    </row>
    <row r="86" spans="1:5" s="151" customFormat="1" ht="12" customHeight="1" x14ac:dyDescent="0.2">
      <c r="A86" s="593" t="s">
        <v>217</v>
      </c>
      <c r="B86" s="590" t="s">
        <v>218</v>
      </c>
      <c r="C86" s="962"/>
      <c r="D86" s="144">
        <f>Z_1.1.sz.mell.!D88</f>
        <v>0</v>
      </c>
      <c r="E86" s="602">
        <f>Z_1.1.sz.mell.!E88</f>
        <v>0</v>
      </c>
    </row>
    <row r="87" spans="1:5" s="151" customFormat="1" ht="12" customHeight="1" x14ac:dyDescent="0.2">
      <c r="A87" s="593" t="s">
        <v>219</v>
      </c>
      <c r="B87" s="590" t="s">
        <v>220</v>
      </c>
      <c r="C87" s="962"/>
      <c r="D87" s="144">
        <f>Z_1.1.sz.mell.!D89</f>
        <v>0</v>
      </c>
      <c r="E87" s="602">
        <f>Z_1.1.sz.mell.!E89</f>
        <v>0</v>
      </c>
    </row>
    <row r="88" spans="1:5" s="151" customFormat="1" ht="13.5" customHeight="1" thickBot="1" x14ac:dyDescent="0.25">
      <c r="A88" s="594" t="s">
        <v>221</v>
      </c>
      <c r="B88" s="582" t="s">
        <v>222</v>
      </c>
      <c r="C88" s="962"/>
      <c r="D88" s="144">
        <f>Z_1.1.sz.mell.!D90</f>
        <v>0</v>
      </c>
      <c r="E88" s="602">
        <f>Z_1.1.sz.mell.!E90</f>
        <v>0</v>
      </c>
    </row>
    <row r="89" spans="1:5" s="151" customFormat="1" ht="12" customHeight="1" thickBot="1" x14ac:dyDescent="0.25">
      <c r="A89" s="598" t="s">
        <v>223</v>
      </c>
      <c r="B89" s="580" t="s">
        <v>347</v>
      </c>
      <c r="C89" s="1076"/>
      <c r="D89" s="626">
        <f>Z_1.1.sz.mell.!D91</f>
        <v>0</v>
      </c>
      <c r="E89" s="606">
        <f>Z_1.1.sz.mell.!E91</f>
        <v>0</v>
      </c>
    </row>
    <row r="90" spans="1:5" s="588" customFormat="1" ht="12" customHeight="1" thickBot="1" x14ac:dyDescent="0.25">
      <c r="A90" s="598" t="s">
        <v>225</v>
      </c>
      <c r="B90" s="580" t="s">
        <v>224</v>
      </c>
      <c r="C90" s="1076"/>
      <c r="D90" s="626">
        <f>Z_1.1.sz.mell.!D92</f>
        <v>0</v>
      </c>
      <c r="E90" s="606">
        <f>Z_1.1.sz.mell.!E92</f>
        <v>0</v>
      </c>
    </row>
    <row r="91" spans="1:5" s="588" customFormat="1" ht="12" customHeight="1" thickBot="1" x14ac:dyDescent="0.25">
      <c r="A91" s="598" t="s">
        <v>237</v>
      </c>
      <c r="B91" s="595" t="s">
        <v>350</v>
      </c>
      <c r="C91" s="964">
        <v>1824493081</v>
      </c>
      <c r="D91" s="146">
        <f>Z_1.1.sz.mell.!D93</f>
        <v>2094509705</v>
      </c>
      <c r="E91" s="587">
        <f>Z_1.1.sz.mell.!E93</f>
        <v>1926559314</v>
      </c>
    </row>
    <row r="92" spans="1:5" s="588" customFormat="1" ht="12" customHeight="1" thickBot="1" x14ac:dyDescent="0.25">
      <c r="A92" s="600" t="s">
        <v>349</v>
      </c>
      <c r="B92" s="596" t="s">
        <v>351</v>
      </c>
      <c r="C92" s="964">
        <v>4385599509</v>
      </c>
      <c r="D92" s="146">
        <f>Z_1.1.sz.mell.!D94</f>
        <v>7051629242</v>
      </c>
      <c r="E92" s="587">
        <f>Z_1.1.sz.mell.!E94</f>
        <v>6580193260</v>
      </c>
    </row>
    <row r="93" spans="1:5" s="588" customFormat="1" ht="12" customHeight="1" x14ac:dyDescent="0.2">
      <c r="A93" s="567"/>
      <c r="B93" s="567"/>
      <c r="C93" s="566"/>
      <c r="D93" s="566"/>
      <c r="E93" s="566"/>
    </row>
    <row r="94" spans="1:5" ht="16.5" customHeight="1" x14ac:dyDescent="0.25">
      <c r="A94" s="1332" t="s">
        <v>34</v>
      </c>
      <c r="B94" s="1332"/>
      <c r="C94" s="1332"/>
      <c r="D94" s="1332"/>
      <c r="E94" s="1332"/>
    </row>
    <row r="95" spans="1:5" s="157" customFormat="1" ht="16.5" customHeight="1" thickBot="1" x14ac:dyDescent="0.3">
      <c r="A95" s="1334" t="s">
        <v>88</v>
      </c>
      <c r="B95" s="1334"/>
      <c r="C95" s="1396" t="str">
        <f>C5</f>
        <v>Forintban</v>
      </c>
      <c r="D95" s="1396"/>
      <c r="E95" s="1396"/>
    </row>
    <row r="96" spans="1:5" s="157" customFormat="1" ht="16.5" customHeight="1" x14ac:dyDescent="0.25">
      <c r="A96" s="1391" t="s">
        <v>51</v>
      </c>
      <c r="B96" s="1328" t="s">
        <v>386</v>
      </c>
      <c r="C96" s="1322" t="str">
        <f>+C6</f>
        <v>2020 évi tény</v>
      </c>
      <c r="D96" s="1394" t="str">
        <f>+D6</f>
        <v>2021. évi</v>
      </c>
      <c r="E96" s="1395"/>
    </row>
    <row r="97" spans="1:5" ht="38.1" customHeight="1" thickBot="1" x14ac:dyDescent="0.3">
      <c r="A97" s="1392"/>
      <c r="B97" s="1393"/>
      <c r="C97" s="1323"/>
      <c r="D97" s="199" t="s">
        <v>411</v>
      </c>
      <c r="E97" s="293" t="s">
        <v>409</v>
      </c>
    </row>
    <row r="98" spans="1:5" s="150" customFormat="1" ht="12" customHeight="1" thickBot="1" x14ac:dyDescent="0.25">
      <c r="A98" s="17" t="s">
        <v>354</v>
      </c>
      <c r="B98" s="18" t="s">
        <v>355</v>
      </c>
      <c r="C98" s="18" t="s">
        <v>356</v>
      </c>
      <c r="D98" s="18" t="s">
        <v>357</v>
      </c>
      <c r="E98" s="294" t="s">
        <v>359</v>
      </c>
    </row>
    <row r="99" spans="1:5" ht="12" customHeight="1" thickBot="1" x14ac:dyDescent="0.3">
      <c r="A99" s="577" t="s">
        <v>6</v>
      </c>
      <c r="B99" s="614" t="s">
        <v>311</v>
      </c>
      <c r="C99" s="988">
        <v>2234422838</v>
      </c>
      <c r="D99" s="656">
        <f>Z_1.1.sz.mell.!D101</f>
        <v>3067208101</v>
      </c>
      <c r="E99" s="661">
        <f>Z_1.1.sz.mell.!E101</f>
        <v>2491515088</v>
      </c>
    </row>
    <row r="100" spans="1:5" ht="12" customHeight="1" x14ac:dyDescent="0.25">
      <c r="A100" s="572" t="s">
        <v>63</v>
      </c>
      <c r="B100" s="615" t="s">
        <v>35</v>
      </c>
      <c r="C100" s="987">
        <v>1107374684</v>
      </c>
      <c r="D100" s="657">
        <f>Z_1.1.sz.mell.!D102</f>
        <v>1267250778</v>
      </c>
      <c r="E100" s="658">
        <f>Z_1.1.sz.mell.!E102</f>
        <v>1196056088</v>
      </c>
    </row>
    <row r="101" spans="1:5" ht="12" customHeight="1" x14ac:dyDescent="0.25">
      <c r="A101" s="569" t="s">
        <v>64</v>
      </c>
      <c r="B101" s="616" t="s">
        <v>109</v>
      </c>
      <c r="C101" s="992">
        <v>200144461</v>
      </c>
      <c r="D101" s="651">
        <f>Z_1.1.sz.mell.!D103</f>
        <v>214274564</v>
      </c>
      <c r="E101" s="652">
        <f>Z_1.1.sz.mell.!E103</f>
        <v>198856561</v>
      </c>
    </row>
    <row r="102" spans="1:5" ht="12" customHeight="1" x14ac:dyDescent="0.25">
      <c r="A102" s="569" t="s">
        <v>65</v>
      </c>
      <c r="B102" s="616" t="s">
        <v>83</v>
      </c>
      <c r="C102" s="994">
        <v>742294097</v>
      </c>
      <c r="D102" s="653">
        <f>Z_1.1.sz.mell.!D104</f>
        <v>1196861314</v>
      </c>
      <c r="E102" s="654">
        <f>Z_1.1.sz.mell.!E104</f>
        <v>845928120</v>
      </c>
    </row>
    <row r="103" spans="1:5" ht="12" customHeight="1" x14ac:dyDescent="0.25">
      <c r="A103" s="569" t="s">
        <v>66</v>
      </c>
      <c r="B103" s="619" t="s">
        <v>110</v>
      </c>
      <c r="C103" s="994">
        <v>46911174</v>
      </c>
      <c r="D103" s="653">
        <f>Z_1.1.sz.mell.!D105</f>
        <v>49000000</v>
      </c>
      <c r="E103" s="654">
        <f>Z_1.1.sz.mell.!E105</f>
        <v>37424380</v>
      </c>
    </row>
    <row r="104" spans="1:5" ht="12" customHeight="1" x14ac:dyDescent="0.25">
      <c r="A104" s="569" t="s">
        <v>74</v>
      </c>
      <c r="B104" s="574" t="s">
        <v>111</v>
      </c>
      <c r="C104" s="994">
        <v>137698422</v>
      </c>
      <c r="D104" s="653">
        <f>Z_1.1.sz.mell.!D106</f>
        <v>258604322</v>
      </c>
      <c r="E104" s="663">
        <f>Z_1.1.sz.mell.!E106</f>
        <v>213249939</v>
      </c>
    </row>
    <row r="105" spans="1:5" ht="12" customHeight="1" x14ac:dyDescent="0.25">
      <c r="A105" s="569" t="s">
        <v>67</v>
      </c>
      <c r="B105" s="616" t="s">
        <v>315</v>
      </c>
      <c r="C105" s="994">
        <v>792176</v>
      </c>
      <c r="D105" s="653">
        <f>Z_1.1.sz.mell.!D107</f>
        <v>17242997</v>
      </c>
      <c r="E105" s="654">
        <f>Z_1.1.sz.mell.!E107</f>
        <v>17102997</v>
      </c>
    </row>
    <row r="106" spans="1:5" ht="12" customHeight="1" x14ac:dyDescent="0.25">
      <c r="A106" s="569" t="s">
        <v>68</v>
      </c>
      <c r="B106" s="618" t="s">
        <v>314</v>
      </c>
      <c r="C106" s="994"/>
      <c r="D106" s="653">
        <f>Z_1.1.sz.mell.!D108</f>
        <v>24580953</v>
      </c>
      <c r="E106" s="654">
        <f>Z_1.1.sz.mell.!E108</f>
        <v>24580953</v>
      </c>
    </row>
    <row r="107" spans="1:5" ht="12" customHeight="1" x14ac:dyDescent="0.25">
      <c r="A107" s="569" t="s">
        <v>75</v>
      </c>
      <c r="B107" s="625" t="s">
        <v>240</v>
      </c>
      <c r="C107" s="994"/>
      <c r="D107" s="653">
        <f>Z_1.1.sz.mell.!D109</f>
        <v>0</v>
      </c>
      <c r="E107" s="654">
        <f>Z_1.1.sz.mell.!E109</f>
        <v>0</v>
      </c>
    </row>
    <row r="108" spans="1:5" ht="12" customHeight="1" x14ac:dyDescent="0.25">
      <c r="A108" s="569" t="s">
        <v>76</v>
      </c>
      <c r="B108" s="624" t="s">
        <v>241</v>
      </c>
      <c r="C108" s="994"/>
      <c r="D108" s="653">
        <f>Z_1.1.sz.mell.!D110</f>
        <v>0</v>
      </c>
      <c r="E108" s="654">
        <f>Z_1.1.sz.mell.!E110</f>
        <v>0</v>
      </c>
    </row>
    <row r="109" spans="1:5" ht="12" customHeight="1" x14ac:dyDescent="0.25">
      <c r="A109" s="569" t="s">
        <v>77</v>
      </c>
      <c r="B109" s="624" t="s">
        <v>242</v>
      </c>
      <c r="C109" s="994"/>
      <c r="D109" s="653">
        <f>Z_1.1.sz.mell.!D111</f>
        <v>0</v>
      </c>
      <c r="E109" s="654">
        <f>Z_1.1.sz.mell.!E111</f>
        <v>0</v>
      </c>
    </row>
    <row r="110" spans="1:5" ht="12" customHeight="1" x14ac:dyDescent="0.25">
      <c r="A110" s="569" t="s">
        <v>78</v>
      </c>
      <c r="B110" s="625" t="s">
        <v>243</v>
      </c>
      <c r="C110" s="994">
        <v>1352500</v>
      </c>
      <c r="D110" s="653">
        <f>Z_1.1.sz.mell.!D112</f>
        <v>672323</v>
      </c>
      <c r="E110" s="654">
        <f>Z_1.1.sz.mell.!E112</f>
        <v>611295</v>
      </c>
    </row>
    <row r="111" spans="1:5" ht="12" customHeight="1" x14ac:dyDescent="0.25">
      <c r="A111" s="569" t="s">
        <v>80</v>
      </c>
      <c r="B111" s="625" t="s">
        <v>244</v>
      </c>
      <c r="C111" s="994"/>
      <c r="D111" s="653">
        <f>Z_1.1.sz.mell.!D113</f>
        <v>0</v>
      </c>
      <c r="E111" s="654">
        <f>Z_1.1.sz.mell.!E113</f>
        <v>0</v>
      </c>
    </row>
    <row r="112" spans="1:5" ht="12" customHeight="1" x14ac:dyDescent="0.25">
      <c r="A112" s="569" t="s">
        <v>112</v>
      </c>
      <c r="B112" s="624" t="s">
        <v>245</v>
      </c>
      <c r="C112" s="994"/>
      <c r="D112" s="653">
        <f>Z_1.1.sz.mell.!D114</f>
        <v>0</v>
      </c>
      <c r="E112" s="654">
        <f>Z_1.1.sz.mell.!E114</f>
        <v>0</v>
      </c>
    </row>
    <row r="113" spans="1:5" ht="12" customHeight="1" x14ac:dyDescent="0.25">
      <c r="A113" s="568" t="s">
        <v>238</v>
      </c>
      <c r="B113" s="618" t="s">
        <v>246</v>
      </c>
      <c r="C113" s="994"/>
      <c r="D113" s="653">
        <f>Z_1.1.sz.mell.!D115</f>
        <v>0</v>
      </c>
      <c r="E113" s="654">
        <f>Z_1.1.sz.mell.!E115</f>
        <v>0</v>
      </c>
    </row>
    <row r="114" spans="1:5" ht="12" customHeight="1" x14ac:dyDescent="0.25">
      <c r="A114" s="569" t="s">
        <v>239</v>
      </c>
      <c r="B114" s="618" t="s">
        <v>247</v>
      </c>
      <c r="C114" s="994"/>
      <c r="D114" s="653">
        <f>Z_1.1.sz.mell.!D116</f>
        <v>0</v>
      </c>
      <c r="E114" s="654">
        <f>Z_1.1.sz.mell.!E116</f>
        <v>0</v>
      </c>
    </row>
    <row r="115" spans="1:5" ht="12" customHeight="1" x14ac:dyDescent="0.25">
      <c r="A115" s="571" t="s">
        <v>312</v>
      </c>
      <c r="B115" s="618" t="s">
        <v>248</v>
      </c>
      <c r="C115" s="994">
        <v>135553746</v>
      </c>
      <c r="D115" s="653">
        <f>Z_1.1.sz.mell.!D117</f>
        <v>216108049</v>
      </c>
      <c r="E115" s="654">
        <f>Z_1.1.sz.mell.!E117</f>
        <v>170954694</v>
      </c>
    </row>
    <row r="116" spans="1:5" ht="12" customHeight="1" x14ac:dyDescent="0.25">
      <c r="A116" s="569" t="s">
        <v>313</v>
      </c>
      <c r="B116" s="619" t="s">
        <v>36</v>
      </c>
      <c r="C116" s="992"/>
      <c r="D116" s="651">
        <f>Z_1.1.sz.mell.!D118</f>
        <v>81217123</v>
      </c>
      <c r="E116" s="662">
        <f>Z_1.1.sz.mell.!E118</f>
        <v>0</v>
      </c>
    </row>
    <row r="117" spans="1:5" ht="12" customHeight="1" x14ac:dyDescent="0.25">
      <c r="A117" s="569" t="s">
        <v>316</v>
      </c>
      <c r="B117" s="616" t="s">
        <v>318</v>
      </c>
      <c r="C117" s="994"/>
      <c r="D117" s="206">
        <f>Z_1.1.sz.mell.!D119</f>
        <v>373295</v>
      </c>
      <c r="E117" s="652">
        <f>Z_1.1.sz.mell.!E119</f>
        <v>0</v>
      </c>
    </row>
    <row r="118" spans="1:5" ht="12" customHeight="1" thickBot="1" x14ac:dyDescent="0.3">
      <c r="A118" s="573" t="s">
        <v>317</v>
      </c>
      <c r="B118" s="620" t="s">
        <v>319</v>
      </c>
      <c r="C118" s="989"/>
      <c r="D118" s="237">
        <f>Z_1.1.sz.mell.!D120</f>
        <v>80843828</v>
      </c>
      <c r="E118" s="659">
        <f>Z_1.1.sz.mell.!E120</f>
        <v>0</v>
      </c>
    </row>
    <row r="119" spans="1:5" ht="12" customHeight="1" thickBot="1" x14ac:dyDescent="0.3">
      <c r="A119" s="601" t="s">
        <v>7</v>
      </c>
      <c r="B119" s="609" t="s">
        <v>249</v>
      </c>
      <c r="C119" s="991">
        <v>401828104</v>
      </c>
      <c r="D119" s="649">
        <f>Z_1.1.sz.mell.!D121</f>
        <v>2906962857</v>
      </c>
      <c r="E119" s="660">
        <f>Z_1.1.sz.mell.!E121</f>
        <v>570063053</v>
      </c>
    </row>
    <row r="120" spans="1:5" ht="12" customHeight="1" x14ac:dyDescent="0.25">
      <c r="A120" s="570" t="s">
        <v>69</v>
      </c>
      <c r="B120" s="616" t="s">
        <v>130</v>
      </c>
      <c r="C120" s="996">
        <v>223119190</v>
      </c>
      <c r="D120" s="204">
        <f>Z_1.1.sz.mell.!D122</f>
        <v>962678806</v>
      </c>
      <c r="E120" s="650">
        <f>Z_1.1.sz.mell.!E122</f>
        <v>274821481</v>
      </c>
    </row>
    <row r="121" spans="1:5" ht="12" customHeight="1" x14ac:dyDescent="0.25">
      <c r="A121" s="570" t="s">
        <v>70</v>
      </c>
      <c r="B121" s="617" t="s">
        <v>253</v>
      </c>
      <c r="C121" s="996">
        <v>170113425</v>
      </c>
      <c r="D121" s="204">
        <f>Z_1.1.sz.mell.!D123</f>
        <v>257902823</v>
      </c>
      <c r="E121" s="650">
        <f>Z_1.1.sz.mell.!E123</f>
        <v>0</v>
      </c>
    </row>
    <row r="122" spans="1:5" x14ac:dyDescent="0.25">
      <c r="A122" s="570" t="s">
        <v>71</v>
      </c>
      <c r="B122" s="617" t="s">
        <v>113</v>
      </c>
      <c r="C122" s="992">
        <v>174642005</v>
      </c>
      <c r="D122" s="205">
        <f>Z_1.1.sz.mell.!D124</f>
        <v>1938372245</v>
      </c>
      <c r="E122" s="652">
        <f>Z_1.1.sz.mell.!E124</f>
        <v>292429761</v>
      </c>
    </row>
    <row r="123" spans="1:5" ht="12" customHeight="1" x14ac:dyDescent="0.25">
      <c r="A123" s="570" t="s">
        <v>72</v>
      </c>
      <c r="B123" s="617" t="s">
        <v>254</v>
      </c>
      <c r="C123" s="992">
        <v>20926243</v>
      </c>
      <c r="D123" s="205">
        <f>Z_1.1.sz.mell.!D125</f>
        <v>391940633</v>
      </c>
      <c r="E123" s="652">
        <f>Z_1.1.sz.mell.!E125</f>
        <v>0</v>
      </c>
    </row>
    <row r="124" spans="1:5" ht="12" customHeight="1" x14ac:dyDescent="0.25">
      <c r="A124" s="570" t="s">
        <v>73</v>
      </c>
      <c r="B124" s="613" t="s">
        <v>132</v>
      </c>
      <c r="C124" s="992">
        <v>4066909</v>
      </c>
      <c r="D124" s="651">
        <f>Z_1.1.sz.mell.!D126</f>
        <v>5911806</v>
      </c>
      <c r="E124" s="662">
        <f>Z_1.1.sz.mell.!E126</f>
        <v>2811811</v>
      </c>
    </row>
    <row r="125" spans="1:5" x14ac:dyDescent="0.25">
      <c r="A125" s="570" t="s">
        <v>79</v>
      </c>
      <c r="B125" s="612" t="s">
        <v>304</v>
      </c>
      <c r="C125" s="992"/>
      <c r="D125" s="205">
        <f>Z_1.1.sz.mell.!D127</f>
        <v>0</v>
      </c>
      <c r="E125" s="652">
        <f>Z_1.1.sz.mell.!E127</f>
        <v>0</v>
      </c>
    </row>
    <row r="126" spans="1:5" x14ac:dyDescent="0.25">
      <c r="A126" s="570" t="s">
        <v>81</v>
      </c>
      <c r="B126" s="623" t="s">
        <v>259</v>
      </c>
      <c r="C126" s="992"/>
      <c r="D126" s="205">
        <f>Z_1.1.sz.mell.!D128</f>
        <v>0</v>
      </c>
      <c r="E126" s="652">
        <f>Z_1.1.sz.mell.!E128</f>
        <v>0</v>
      </c>
    </row>
    <row r="127" spans="1:5" ht="12" customHeight="1" x14ac:dyDescent="0.25">
      <c r="A127" s="570" t="s">
        <v>114</v>
      </c>
      <c r="B127" s="624" t="s">
        <v>242</v>
      </c>
      <c r="C127" s="992"/>
      <c r="D127" s="205">
        <f>Z_1.1.sz.mell.!D129</f>
        <v>0</v>
      </c>
      <c r="E127" s="652">
        <f>Z_1.1.sz.mell.!E129</f>
        <v>0</v>
      </c>
    </row>
    <row r="128" spans="1:5" ht="12" customHeight="1" x14ac:dyDescent="0.25">
      <c r="A128" s="570" t="s">
        <v>115</v>
      </c>
      <c r="B128" s="624" t="s">
        <v>258</v>
      </c>
      <c r="C128" s="992"/>
      <c r="D128" s="205">
        <f>Z_1.1.sz.mell.!D130</f>
        <v>0</v>
      </c>
      <c r="E128" s="652">
        <f>Z_1.1.sz.mell.!E130</f>
        <v>0</v>
      </c>
    </row>
    <row r="129" spans="1:5" ht="12" customHeight="1" x14ac:dyDescent="0.25">
      <c r="A129" s="570" t="s">
        <v>116</v>
      </c>
      <c r="B129" s="624" t="s">
        <v>257</v>
      </c>
      <c r="C129" s="992"/>
      <c r="D129" s="205">
        <f>Z_1.1.sz.mell.!D131</f>
        <v>0</v>
      </c>
      <c r="E129" s="652">
        <f>Z_1.1.sz.mell.!E131</f>
        <v>0</v>
      </c>
    </row>
    <row r="130" spans="1:5" s="295" customFormat="1" ht="12" customHeight="1" x14ac:dyDescent="0.2">
      <c r="A130" s="570" t="s">
        <v>250</v>
      </c>
      <c r="B130" s="624" t="s">
        <v>245</v>
      </c>
      <c r="C130" s="992"/>
      <c r="D130" s="205">
        <f>Z_1.1.sz.mell.!D132</f>
        <v>0</v>
      </c>
      <c r="E130" s="652">
        <f>Z_1.1.sz.mell.!E132</f>
        <v>0</v>
      </c>
    </row>
    <row r="131" spans="1:5" ht="12" customHeight="1" x14ac:dyDescent="0.25">
      <c r="A131" s="570" t="s">
        <v>251</v>
      </c>
      <c r="B131" s="624" t="s">
        <v>256</v>
      </c>
      <c r="C131" s="992"/>
      <c r="D131" s="205">
        <f>Z_1.1.sz.mell.!D133</f>
        <v>0</v>
      </c>
      <c r="E131" s="652">
        <f>Z_1.1.sz.mell.!E133</f>
        <v>0</v>
      </c>
    </row>
    <row r="132" spans="1:5" ht="12" customHeight="1" thickBot="1" x14ac:dyDescent="0.3">
      <c r="A132" s="568" t="s">
        <v>252</v>
      </c>
      <c r="B132" s="624" t="s">
        <v>255</v>
      </c>
      <c r="C132" s="994">
        <v>4066909</v>
      </c>
      <c r="D132" s="206">
        <f>Z_1.1.sz.mell.!D134</f>
        <v>5911806</v>
      </c>
      <c r="E132" s="654">
        <f>Z_1.1.sz.mell.!E134</f>
        <v>2811811</v>
      </c>
    </row>
    <row r="133" spans="1:5" ht="12" customHeight="1" thickBot="1" x14ac:dyDescent="0.3">
      <c r="A133" s="575" t="s">
        <v>8</v>
      </c>
      <c r="B133" s="610" t="s">
        <v>320</v>
      </c>
      <c r="C133" s="991">
        <v>2636250942</v>
      </c>
      <c r="D133" s="649">
        <f>Z_1.1.sz.mell.!D135</f>
        <v>5974170958</v>
      </c>
      <c r="E133" s="660">
        <f>Z_1.1.sz.mell.!E135</f>
        <v>3061578141</v>
      </c>
    </row>
    <row r="134" spans="1:5" ht="12" customHeight="1" thickBot="1" x14ac:dyDescent="0.3">
      <c r="A134" s="575" t="s">
        <v>9</v>
      </c>
      <c r="B134" s="610" t="s">
        <v>387</v>
      </c>
      <c r="C134" s="991">
        <v>847193674</v>
      </c>
      <c r="D134" s="649">
        <f>Z_1.1.sz.mell.!D136</f>
        <v>1028491534</v>
      </c>
      <c r="E134" s="660">
        <f>Z_1.1.sz.mell.!E136</f>
        <v>1028491534</v>
      </c>
    </row>
    <row r="135" spans="1:5" ht="12" customHeight="1" x14ac:dyDescent="0.25">
      <c r="A135" s="570" t="s">
        <v>161</v>
      </c>
      <c r="B135" s="617" t="s">
        <v>328</v>
      </c>
      <c r="C135" s="992">
        <v>26038434</v>
      </c>
      <c r="D135" s="205">
        <f>Z_1.1.sz.mell.!D137</f>
        <v>24993747</v>
      </c>
      <c r="E135" s="652">
        <f>Z_1.1.sz.mell.!E137</f>
        <v>24993747</v>
      </c>
    </row>
    <row r="136" spans="1:5" ht="12" customHeight="1" x14ac:dyDescent="0.25">
      <c r="A136" s="570" t="s">
        <v>162</v>
      </c>
      <c r="B136" s="617" t="s">
        <v>329</v>
      </c>
      <c r="C136" s="992">
        <v>821155240</v>
      </c>
      <c r="D136" s="205">
        <f>Z_1.1.sz.mell.!D138</f>
        <v>1003497787</v>
      </c>
      <c r="E136" s="652">
        <f>Z_1.1.sz.mell.!E138</f>
        <v>1003497787</v>
      </c>
    </row>
    <row r="137" spans="1:5" ht="12" customHeight="1" thickBot="1" x14ac:dyDescent="0.3">
      <c r="A137" s="568" t="s">
        <v>163</v>
      </c>
      <c r="B137" s="617" t="s">
        <v>330</v>
      </c>
      <c r="C137" s="992"/>
      <c r="D137" s="205">
        <f>Z_1.1.sz.mell.!D139</f>
        <v>0</v>
      </c>
      <c r="E137" s="652">
        <f>Z_1.1.sz.mell.!E139</f>
        <v>0</v>
      </c>
    </row>
    <row r="138" spans="1:5" ht="12" customHeight="1" thickBot="1" x14ac:dyDescent="0.3">
      <c r="A138" s="575" t="s">
        <v>10</v>
      </c>
      <c r="B138" s="610" t="s">
        <v>322</v>
      </c>
      <c r="C138" s="991"/>
      <c r="D138" s="649">
        <f>Z_1.1.sz.mell.!D140</f>
        <v>0</v>
      </c>
      <c r="E138" s="660">
        <f>Z_1.1.sz.mell.!E140</f>
        <v>0</v>
      </c>
    </row>
    <row r="139" spans="1:5" ht="12" customHeight="1" x14ac:dyDescent="0.25">
      <c r="A139" s="570" t="s">
        <v>56</v>
      </c>
      <c r="B139" s="621" t="s">
        <v>331</v>
      </c>
      <c r="C139" s="992"/>
      <c r="D139" s="205">
        <f>Z_1.1.sz.mell.!D141</f>
        <v>0</v>
      </c>
      <c r="E139" s="652">
        <f>Z_1.1.sz.mell.!E141</f>
        <v>0</v>
      </c>
    </row>
    <row r="140" spans="1:5" ht="12" customHeight="1" x14ac:dyDescent="0.25">
      <c r="A140" s="570" t="s">
        <v>57</v>
      </c>
      <c r="B140" s="621" t="s">
        <v>323</v>
      </c>
      <c r="C140" s="992"/>
      <c r="D140" s="205">
        <f>Z_1.1.sz.mell.!D142</f>
        <v>0</v>
      </c>
      <c r="E140" s="652">
        <f>Z_1.1.sz.mell.!E142</f>
        <v>0</v>
      </c>
    </row>
    <row r="141" spans="1:5" ht="12" customHeight="1" x14ac:dyDescent="0.25">
      <c r="A141" s="570" t="s">
        <v>58</v>
      </c>
      <c r="B141" s="621" t="s">
        <v>324</v>
      </c>
      <c r="C141" s="992"/>
      <c r="D141" s="205">
        <f>Z_1.1.sz.mell.!D143</f>
        <v>0</v>
      </c>
      <c r="E141" s="652">
        <f>Z_1.1.sz.mell.!E143</f>
        <v>0</v>
      </c>
    </row>
    <row r="142" spans="1:5" ht="12" customHeight="1" x14ac:dyDescent="0.25">
      <c r="A142" s="570" t="s">
        <v>101</v>
      </c>
      <c r="B142" s="621" t="s">
        <v>325</v>
      </c>
      <c r="C142" s="992"/>
      <c r="D142" s="205">
        <f>Z_1.1.sz.mell.!D144</f>
        <v>0</v>
      </c>
      <c r="E142" s="652">
        <f>Z_1.1.sz.mell.!E144</f>
        <v>0</v>
      </c>
    </row>
    <row r="143" spans="1:5" ht="12" customHeight="1" x14ac:dyDescent="0.25">
      <c r="A143" s="570" t="s">
        <v>102</v>
      </c>
      <c r="B143" s="621" t="s">
        <v>326</v>
      </c>
      <c r="C143" s="992"/>
      <c r="D143" s="205">
        <f>Z_1.1.sz.mell.!D145</f>
        <v>0</v>
      </c>
      <c r="E143" s="652">
        <f>Z_1.1.sz.mell.!E145</f>
        <v>0</v>
      </c>
    </row>
    <row r="144" spans="1:5" ht="12" customHeight="1" thickBot="1" x14ac:dyDescent="0.3">
      <c r="A144" s="573" t="s">
        <v>103</v>
      </c>
      <c r="B144" s="639" t="s">
        <v>327</v>
      </c>
      <c r="C144" s="989"/>
      <c r="D144" s="237">
        <f>Z_1.1.sz.mell.!D146</f>
        <v>0</v>
      </c>
      <c r="E144" s="659">
        <f>Z_1.1.sz.mell.!E146</f>
        <v>0</v>
      </c>
    </row>
    <row r="145" spans="1:9" ht="12" customHeight="1" thickBot="1" x14ac:dyDescent="0.3">
      <c r="A145" s="575" t="s">
        <v>11</v>
      </c>
      <c r="B145" s="610" t="s">
        <v>335</v>
      </c>
      <c r="C145" s="985">
        <v>45672254</v>
      </c>
      <c r="D145" s="655">
        <f>Z_1.1.sz.mell.!D147</f>
        <v>48966750</v>
      </c>
      <c r="E145" s="664">
        <f>Z_1.1.sz.mell.!E147</f>
        <v>48966750</v>
      </c>
    </row>
    <row r="146" spans="1:9" ht="12" customHeight="1" x14ac:dyDescent="0.25">
      <c r="A146" s="570" t="s">
        <v>59</v>
      </c>
      <c r="B146" s="621" t="s">
        <v>260</v>
      </c>
      <c r="C146" s="992"/>
      <c r="D146" s="205">
        <f>Z_1.1.sz.mell.!D148</f>
        <v>0</v>
      </c>
      <c r="E146" s="652">
        <f>Z_1.1.sz.mell.!E148</f>
        <v>0</v>
      </c>
    </row>
    <row r="147" spans="1:9" ht="12" customHeight="1" x14ac:dyDescent="0.25">
      <c r="A147" s="570" t="s">
        <v>60</v>
      </c>
      <c r="B147" s="621" t="s">
        <v>261</v>
      </c>
      <c r="C147" s="992">
        <v>45672254</v>
      </c>
      <c r="D147" s="205">
        <f>Z_1.1.sz.mell.!D149</f>
        <v>48966750</v>
      </c>
      <c r="E147" s="652">
        <f>Z_1.1.sz.mell.!E149</f>
        <v>48966750</v>
      </c>
    </row>
    <row r="148" spans="1:9" ht="15.2" customHeight="1" x14ac:dyDescent="0.25">
      <c r="A148" s="570" t="s">
        <v>178</v>
      </c>
      <c r="B148" s="621" t="s">
        <v>336</v>
      </c>
      <c r="C148" s="992"/>
      <c r="D148" s="205">
        <f>Z_1.1.sz.mell.!D150</f>
        <v>0</v>
      </c>
      <c r="E148" s="652">
        <f>Z_1.1.sz.mell.!E150</f>
        <v>0</v>
      </c>
      <c r="F148" s="158"/>
      <c r="G148" s="159"/>
      <c r="H148" s="159"/>
      <c r="I148" s="159"/>
    </row>
    <row r="149" spans="1:9" s="151" customFormat="1" ht="12.95" customHeight="1" thickBot="1" x14ac:dyDescent="0.25">
      <c r="A149" s="568" t="s">
        <v>179</v>
      </c>
      <c r="B149" s="622" t="s">
        <v>275</v>
      </c>
      <c r="C149" s="992"/>
      <c r="D149" s="205">
        <f>Z_1.1.sz.mell.!D151</f>
        <v>0</v>
      </c>
      <c r="E149" s="652">
        <f>Z_1.1.sz.mell.!E151</f>
        <v>0</v>
      </c>
    </row>
    <row r="150" spans="1:9" ht="13.5" customHeight="1" thickBot="1" x14ac:dyDescent="0.3">
      <c r="A150" s="575" t="s">
        <v>12</v>
      </c>
      <c r="B150" s="610" t="s">
        <v>337</v>
      </c>
      <c r="C150" s="993"/>
      <c r="D150" s="607">
        <f>Z_1.1.sz.mell.!D152</f>
        <v>0</v>
      </c>
      <c r="E150" s="607">
        <f>Z_1.1.sz.mell.!E152</f>
        <v>0</v>
      </c>
    </row>
    <row r="151" spans="1:9" ht="13.5" customHeight="1" x14ac:dyDescent="0.25">
      <c r="A151" s="570" t="s">
        <v>61</v>
      </c>
      <c r="B151" s="621" t="s">
        <v>332</v>
      </c>
      <c r="C151" s="992"/>
      <c r="D151" s="205">
        <f>Z_1.1.sz.mell.!D153</f>
        <v>0</v>
      </c>
      <c r="E151" s="652">
        <f>Z_1.1.sz.mell.!E153</f>
        <v>0</v>
      </c>
    </row>
    <row r="152" spans="1:9" ht="13.5" customHeight="1" x14ac:dyDescent="0.25">
      <c r="A152" s="570" t="s">
        <v>62</v>
      </c>
      <c r="B152" s="621" t="s">
        <v>339</v>
      </c>
      <c r="C152" s="992"/>
      <c r="D152" s="205">
        <f>Z_1.1.sz.mell.!D154</f>
        <v>0</v>
      </c>
      <c r="E152" s="652">
        <f>Z_1.1.sz.mell.!E154</f>
        <v>0</v>
      </c>
    </row>
    <row r="153" spans="1:9" ht="13.5" customHeight="1" x14ac:dyDescent="0.25">
      <c r="A153" s="570" t="s">
        <v>190</v>
      </c>
      <c r="B153" s="621" t="s">
        <v>334</v>
      </c>
      <c r="C153" s="992"/>
      <c r="D153" s="205">
        <f>Z_1.1.sz.mell.!D155</f>
        <v>0</v>
      </c>
      <c r="E153" s="652">
        <f>Z_1.1.sz.mell.!E155</f>
        <v>0</v>
      </c>
    </row>
    <row r="154" spans="1:9" ht="13.5" customHeight="1" x14ac:dyDescent="0.25">
      <c r="A154" s="570" t="s">
        <v>191</v>
      </c>
      <c r="B154" s="621" t="s">
        <v>340</v>
      </c>
      <c r="C154" s="992"/>
      <c r="D154" s="205">
        <f>Z_1.1.sz.mell.!D156</f>
        <v>0</v>
      </c>
      <c r="E154" s="652">
        <f>Z_1.1.sz.mell.!E156</f>
        <v>0</v>
      </c>
    </row>
    <row r="155" spans="1:9" ht="13.5" customHeight="1" thickBot="1" x14ac:dyDescent="0.3">
      <c r="A155" s="570" t="s">
        <v>338</v>
      </c>
      <c r="B155" s="621" t="s">
        <v>341</v>
      </c>
      <c r="C155" s="992"/>
      <c r="D155" s="205">
        <f>Z_1.1.sz.mell.!D157</f>
        <v>0</v>
      </c>
      <c r="E155" s="652">
        <f>Z_1.1.sz.mell.!E157</f>
        <v>0</v>
      </c>
    </row>
    <row r="156" spans="1:9" ht="12.75" customHeight="1" thickBot="1" x14ac:dyDescent="0.3">
      <c r="A156" s="575" t="s">
        <v>13</v>
      </c>
      <c r="B156" s="610" t="s">
        <v>342</v>
      </c>
      <c r="C156" s="986"/>
      <c r="D156" s="209">
        <f>Z_1.1.sz.mell.!D158</f>
        <v>0</v>
      </c>
      <c r="E156" s="192">
        <f>Z_1.1.sz.mell.!E158</f>
        <v>0</v>
      </c>
    </row>
    <row r="157" spans="1:9" ht="13.5" customHeight="1" thickBot="1" x14ac:dyDescent="0.3">
      <c r="A157" s="575" t="s">
        <v>14</v>
      </c>
      <c r="B157" s="610" t="s">
        <v>343</v>
      </c>
      <c r="C157" s="986"/>
      <c r="D157" s="209">
        <f>Z_1.1.sz.mell.!D159</f>
        <v>0</v>
      </c>
      <c r="E157" s="192">
        <f>Z_1.1.sz.mell.!E159</f>
        <v>0</v>
      </c>
    </row>
    <row r="158" spans="1:9" ht="13.5" customHeight="1" thickBot="1" x14ac:dyDescent="0.3">
      <c r="A158" s="575" t="s">
        <v>15</v>
      </c>
      <c r="B158" s="610" t="s">
        <v>345</v>
      </c>
      <c r="C158" s="990">
        <v>892865928</v>
      </c>
      <c r="D158" s="608">
        <f>Z_1.1.sz.mell.!D160</f>
        <v>1077458284</v>
      </c>
      <c r="E158" s="608">
        <f>Z_1.1.sz.mell.!E160</f>
        <v>1077458284</v>
      </c>
    </row>
    <row r="159" spans="1:9" ht="13.5" customHeight="1" thickBot="1" x14ac:dyDescent="0.3">
      <c r="A159" s="583" t="s">
        <v>16</v>
      </c>
      <c r="B159" s="611" t="s">
        <v>344</v>
      </c>
      <c r="C159" s="990">
        <v>3529116870</v>
      </c>
      <c r="D159" s="608">
        <f>Z_1.1.sz.mell.!D161</f>
        <v>7051629242</v>
      </c>
      <c r="E159" s="608">
        <f>Z_1.1.sz.mell.!E161</f>
        <v>4139036425</v>
      </c>
    </row>
    <row r="160" spans="1:9" ht="7.5" customHeight="1" x14ac:dyDescent="0.25"/>
    <row r="162" s="149" customFormat="1" ht="12.75" customHeight="1" x14ac:dyDescent="0.25"/>
    <row r="163" s="149" customFormat="1" ht="12.75" customHeight="1" x14ac:dyDescent="0.25"/>
    <row r="164" s="149" customFormat="1" ht="12.75" customHeight="1" x14ac:dyDescent="0.25"/>
    <row r="165" s="149" customFormat="1" ht="12.75" customHeight="1" x14ac:dyDescent="0.25"/>
    <row r="166" s="149" customFormat="1" ht="12.75" customHeight="1" x14ac:dyDescent="0.25"/>
    <row r="167" s="149" customFormat="1" ht="12.75" customHeight="1" x14ac:dyDescent="0.25"/>
    <row r="168" s="149" customFormat="1" ht="12.75" customHeight="1" x14ac:dyDescent="0.25"/>
    <row r="169" s="149" customFormat="1" ht="12.75" customHeight="1" x14ac:dyDescent="0.25"/>
  </sheetData>
  <mergeCells count="17">
    <mergeCell ref="A1:E1"/>
    <mergeCell ref="A2:E2"/>
    <mergeCell ref="A3:E3"/>
    <mergeCell ref="A4:E4"/>
    <mergeCell ref="A6:A7"/>
    <mergeCell ref="B6:B7"/>
    <mergeCell ref="C6:C7"/>
    <mergeCell ref="D6:E6"/>
    <mergeCell ref="A5:B5"/>
    <mergeCell ref="C5:E5"/>
    <mergeCell ref="A94:E94"/>
    <mergeCell ref="A96:A97"/>
    <mergeCell ref="B96:B97"/>
    <mergeCell ref="C96:C97"/>
    <mergeCell ref="D96:E96"/>
    <mergeCell ref="A95:B95"/>
    <mergeCell ref="C95:E95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67" fitToHeight="2" orientation="portrait" r:id="rId1"/>
  <headerFooter alignWithMargins="0"/>
  <rowBreaks count="2" manualBreakCount="2">
    <brk id="67" max="16383" man="1"/>
    <brk id="93" max="4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9"/>
  <dimension ref="A1:K26"/>
  <sheetViews>
    <sheetView zoomScale="120" zoomScaleNormal="120" zoomScaleSheetLayoutView="130" workbookViewId="0">
      <selection activeCell="E10" sqref="E10"/>
    </sheetView>
  </sheetViews>
  <sheetFormatPr defaultRowHeight="12.75" x14ac:dyDescent="0.2"/>
  <cols>
    <col min="1" max="1" width="6.83203125" style="20" customWidth="1"/>
    <col min="2" max="2" width="32.33203125" style="19" customWidth="1"/>
    <col min="3" max="3" width="17" style="19" customWidth="1"/>
    <col min="4" max="9" width="12.83203125" style="19" customWidth="1"/>
    <col min="10" max="10" width="13.83203125" style="19" customWidth="1"/>
    <col min="11" max="11" width="4" style="19" customWidth="1"/>
    <col min="12" max="16384" width="9.33203125" style="19"/>
  </cols>
  <sheetData>
    <row r="1" spans="1:11" ht="15.75" x14ac:dyDescent="0.2">
      <c r="A1" s="1344" t="s">
        <v>681</v>
      </c>
      <c r="B1" s="1406"/>
      <c r="C1" s="1406"/>
      <c r="D1" s="1406"/>
      <c r="E1" s="1406"/>
      <c r="F1" s="1406"/>
      <c r="G1" s="1406"/>
      <c r="H1" s="1406"/>
      <c r="I1" s="1406"/>
      <c r="J1" s="1406"/>
    </row>
    <row r="2" spans="1:11" ht="13.5" customHeight="1" thickBot="1" x14ac:dyDescent="0.25">
      <c r="A2" s="1414" t="str">
        <f>Z_1.tájékoztató_t.!C5</f>
        <v>Forintban</v>
      </c>
      <c r="B2" s="1414"/>
      <c r="C2" s="1414"/>
      <c r="D2" s="1414"/>
      <c r="E2" s="1414"/>
      <c r="F2" s="1414"/>
      <c r="G2" s="1414"/>
      <c r="H2" s="1414"/>
      <c r="I2" s="1414"/>
      <c r="J2" s="1414"/>
      <c r="K2" s="1335" t="str">
        <f>CONCATENATE("17. melléklet, 2. tájékoztató tábla ",Z_ALAPADATOK!A7," ",Z_ALAPADATOK!B7," ",Z_ALAPADATOK!C7," ",Z_ALAPADATOK!D7," ",Z_ALAPADATOK!E7," ",Z_ALAPADATOK!F7," ",Z_ALAPADATOK!G7," ",Z_ALAPADATOK!H7)</f>
        <v>17. melléklet, 2. tájékoztató tábla a 12 / 2022. ( V.30. ) önkormányzati rendelethez</v>
      </c>
    </row>
    <row r="3" spans="1:11" s="296" customFormat="1" ht="26.45" customHeight="1" x14ac:dyDescent="0.2">
      <c r="A3" s="1407" t="s">
        <v>51</v>
      </c>
      <c r="B3" s="1409" t="s">
        <v>468</v>
      </c>
      <c r="C3" s="1409" t="s">
        <v>469</v>
      </c>
      <c r="D3" s="1409" t="s">
        <v>470</v>
      </c>
      <c r="E3" s="1409" t="str">
        <f>CONCATENATE(Z_ALAPADATOK!B1,". évi teljesítés")</f>
        <v>2021. évi teljesítés</v>
      </c>
      <c r="F3" s="1415" t="s">
        <v>471</v>
      </c>
      <c r="G3" s="1416"/>
      <c r="H3" s="1416"/>
      <c r="I3" s="1417"/>
      <c r="J3" s="1412" t="s">
        <v>472</v>
      </c>
      <c r="K3" s="1335"/>
    </row>
    <row r="4" spans="1:11" s="300" customFormat="1" ht="32.450000000000003" customHeight="1" thickBot="1" x14ac:dyDescent="0.25">
      <c r="A4" s="1408"/>
      <c r="B4" s="1410"/>
      <c r="C4" s="1410"/>
      <c r="D4" s="1411"/>
      <c r="E4" s="1411"/>
      <c r="F4" s="297" t="str">
        <f>CONCATENATE(Z_ALAPADATOK!B1+1,".")</f>
        <v>2022.</v>
      </c>
      <c r="G4" s="298" t="str">
        <f>CONCATENATE(Z_ALAPADATOK!B1+2,".")</f>
        <v>2023.</v>
      </c>
      <c r="H4" s="298" t="str">
        <f>CONCATENATE(Z_ALAPADATOK!B1+3,".")</f>
        <v>2024.</v>
      </c>
      <c r="I4" s="299" t="str">
        <f>CONCATENATE(Z_ALAPADATOK!B1+3,". után")</f>
        <v>2024. után</v>
      </c>
      <c r="J4" s="1413"/>
      <c r="K4" s="1335"/>
    </row>
    <row r="5" spans="1:11" s="303" customFormat="1" ht="14.1" customHeight="1" thickBot="1" x14ac:dyDescent="0.25">
      <c r="A5" s="638" t="s">
        <v>354</v>
      </c>
      <c r="B5" s="636" t="s">
        <v>473</v>
      </c>
      <c r="C5" s="301" t="s">
        <v>356</v>
      </c>
      <c r="D5" s="301" t="s">
        <v>358</v>
      </c>
      <c r="E5" s="301" t="s">
        <v>357</v>
      </c>
      <c r="F5" s="301" t="s">
        <v>359</v>
      </c>
      <c r="G5" s="301" t="s">
        <v>360</v>
      </c>
      <c r="H5" s="301" t="s">
        <v>361</v>
      </c>
      <c r="I5" s="301" t="s">
        <v>389</v>
      </c>
      <c r="J5" s="302" t="s">
        <v>474</v>
      </c>
      <c r="K5" s="1335"/>
    </row>
    <row r="6" spans="1:11" ht="21" x14ac:dyDescent="0.2">
      <c r="A6" s="633" t="s">
        <v>6</v>
      </c>
      <c r="B6" s="637" t="s">
        <v>475</v>
      </c>
      <c r="C6" s="304"/>
      <c r="D6" s="305">
        <v>100000000</v>
      </c>
      <c r="E6" s="305"/>
      <c r="F6" s="305"/>
      <c r="G6" s="305"/>
      <c r="H6" s="305"/>
      <c r="I6" s="306"/>
      <c r="J6" s="307">
        <v>0</v>
      </c>
      <c r="K6" s="1335"/>
    </row>
    <row r="7" spans="1:11" ht="22.5" x14ac:dyDescent="0.2">
      <c r="A7" s="644" t="s">
        <v>7</v>
      </c>
      <c r="B7" s="645" t="s">
        <v>849</v>
      </c>
      <c r="C7" s="308">
        <v>2021</v>
      </c>
      <c r="D7" s="14">
        <v>100000000</v>
      </c>
      <c r="E7" s="14">
        <v>0</v>
      </c>
      <c r="F7" s="14">
        <v>0</v>
      </c>
      <c r="G7" s="14">
        <v>0</v>
      </c>
      <c r="H7" s="14">
        <v>0</v>
      </c>
      <c r="I7" s="309">
        <v>0</v>
      </c>
      <c r="J7" s="310">
        <v>0</v>
      </c>
      <c r="K7" s="1335"/>
    </row>
    <row r="8" spans="1:11" ht="21" x14ac:dyDescent="0.2">
      <c r="A8" s="644" t="s">
        <v>8</v>
      </c>
      <c r="B8" s="631" t="s">
        <v>477</v>
      </c>
      <c r="C8" s="311"/>
      <c r="D8" s="312">
        <f>SUM(D9:D25)</f>
        <v>333853131</v>
      </c>
      <c r="E8" s="312">
        <f t="shared" ref="E8:J8" si="0">SUM(E9:E25)</f>
        <v>24993747</v>
      </c>
      <c r="F8" s="312">
        <f t="shared" si="0"/>
        <v>22728296</v>
      </c>
      <c r="G8" s="312">
        <f t="shared" si="0"/>
        <v>21918706</v>
      </c>
      <c r="H8" s="312">
        <f t="shared" si="0"/>
        <v>34404350</v>
      </c>
      <c r="I8" s="1164">
        <f t="shared" si="0"/>
        <v>186906423</v>
      </c>
      <c r="J8" s="313">
        <f t="shared" si="0"/>
        <v>265957775</v>
      </c>
      <c r="K8" s="1335"/>
    </row>
    <row r="9" spans="1:11" s="630" customFormat="1" ht="33.75" x14ac:dyDescent="0.2">
      <c r="A9" s="644" t="s">
        <v>9</v>
      </c>
      <c r="B9" s="997" t="s">
        <v>850</v>
      </c>
      <c r="C9" s="308">
        <v>2016</v>
      </c>
      <c r="D9" s="640">
        <v>10303000</v>
      </c>
      <c r="E9" s="640">
        <v>1472000</v>
      </c>
      <c r="F9" s="640">
        <v>1472000</v>
      </c>
      <c r="G9" s="640">
        <v>1472000</v>
      </c>
      <c r="H9" s="640">
        <v>1471000</v>
      </c>
      <c r="I9" s="634"/>
      <c r="J9" s="635">
        <f>5887000-1472000</f>
        <v>4415000</v>
      </c>
      <c r="K9" s="1335"/>
    </row>
    <row r="10" spans="1:11" s="630" customFormat="1" ht="22.5" x14ac:dyDescent="0.2">
      <c r="A10" s="644" t="s">
        <v>10</v>
      </c>
      <c r="B10" s="997" t="s">
        <v>851</v>
      </c>
      <c r="C10" s="308">
        <v>2016</v>
      </c>
      <c r="D10" s="640">
        <v>4434961</v>
      </c>
      <c r="E10" s="640">
        <v>443461</v>
      </c>
      <c r="F10" s="640"/>
      <c r="G10" s="640">
        <v>0</v>
      </c>
      <c r="H10" s="640">
        <v>0</v>
      </c>
      <c r="I10" s="634">
        <v>0</v>
      </c>
      <c r="J10" s="635">
        <v>0</v>
      </c>
      <c r="K10" s="1335"/>
    </row>
    <row r="11" spans="1:11" s="630" customFormat="1" ht="22.5" x14ac:dyDescent="0.2">
      <c r="A11" s="644" t="s">
        <v>11</v>
      </c>
      <c r="B11" s="997" t="s">
        <v>852</v>
      </c>
      <c r="C11" s="308">
        <v>2016</v>
      </c>
      <c r="D11" s="640">
        <v>5565039</v>
      </c>
      <c r="E11" s="640">
        <v>556539</v>
      </c>
      <c r="F11" s="640"/>
      <c r="G11" s="640">
        <v>0</v>
      </c>
      <c r="H11" s="640">
        <v>0</v>
      </c>
      <c r="I11" s="634">
        <v>0</v>
      </c>
      <c r="J11" s="635"/>
      <c r="K11" s="1335"/>
    </row>
    <row r="12" spans="1:11" s="630" customFormat="1" x14ac:dyDescent="0.2">
      <c r="A12" s="644" t="s">
        <v>12</v>
      </c>
      <c r="B12" s="997" t="s">
        <v>853</v>
      </c>
      <c r="C12" s="308">
        <v>2017</v>
      </c>
      <c r="D12" s="640">
        <v>41101155</v>
      </c>
      <c r="E12" s="640">
        <v>4940000</v>
      </c>
      <c r="F12" s="640">
        <v>4940000</v>
      </c>
      <c r="G12" s="640">
        <v>4940000</v>
      </c>
      <c r="H12" s="640">
        <v>4940000</v>
      </c>
      <c r="I12" s="634">
        <f>16401155-4940000</f>
        <v>11461155</v>
      </c>
      <c r="J12" s="635">
        <f>31221155-4940000</f>
        <v>26281155</v>
      </c>
      <c r="K12" s="1335"/>
    </row>
    <row r="13" spans="1:11" s="630" customFormat="1" ht="33.75" x14ac:dyDescent="0.2">
      <c r="A13" s="644" t="s">
        <v>13</v>
      </c>
      <c r="B13" s="997" t="s">
        <v>854</v>
      </c>
      <c r="C13" s="308">
        <v>2017</v>
      </c>
      <c r="D13" s="640">
        <v>5500000</v>
      </c>
      <c r="E13" s="640">
        <v>1464000</v>
      </c>
      <c r="F13" s="640">
        <v>1108000</v>
      </c>
      <c r="G13" s="640"/>
      <c r="H13" s="640"/>
      <c r="I13" s="634">
        <v>0</v>
      </c>
      <c r="J13" s="635">
        <f>2572000-1464000</f>
        <v>1108000</v>
      </c>
      <c r="K13" s="1335"/>
    </row>
    <row r="14" spans="1:11" s="630" customFormat="1" ht="22.5" x14ac:dyDescent="0.2">
      <c r="A14" s="644" t="s">
        <v>14</v>
      </c>
      <c r="B14" s="997" t="s">
        <v>855</v>
      </c>
      <c r="C14" s="308">
        <v>2018</v>
      </c>
      <c r="D14" s="640">
        <v>3201452</v>
      </c>
      <c r="E14" s="640">
        <v>984000</v>
      </c>
      <c r="F14" s="640">
        <v>741452</v>
      </c>
      <c r="G14" s="640"/>
      <c r="H14" s="640">
        <v>0</v>
      </c>
      <c r="I14" s="634">
        <v>0</v>
      </c>
      <c r="J14" s="635">
        <v>741452</v>
      </c>
      <c r="K14" s="1335"/>
    </row>
    <row r="15" spans="1:11" s="630" customFormat="1" ht="22.5" x14ac:dyDescent="0.2">
      <c r="A15" s="644" t="s">
        <v>15</v>
      </c>
      <c r="B15" s="997" t="s">
        <v>856</v>
      </c>
      <c r="C15" s="308">
        <v>2018</v>
      </c>
      <c r="D15" s="640">
        <v>2981946</v>
      </c>
      <c r="E15" s="640">
        <v>1118946</v>
      </c>
      <c r="F15" s="640"/>
      <c r="G15" s="640">
        <v>0</v>
      </c>
      <c r="H15" s="640">
        <v>0</v>
      </c>
      <c r="I15" s="634">
        <v>0</v>
      </c>
      <c r="J15" s="635"/>
      <c r="K15" s="1335"/>
    </row>
    <row r="16" spans="1:11" s="630" customFormat="1" ht="22.5" x14ac:dyDescent="0.2">
      <c r="A16" s="644" t="s">
        <v>16</v>
      </c>
      <c r="B16" s="997" t="s">
        <v>857</v>
      </c>
      <c r="C16" s="308">
        <v>2018</v>
      </c>
      <c r="D16" s="640">
        <v>4868742</v>
      </c>
      <c r="E16" s="640">
        <v>1270000</v>
      </c>
      <c r="F16" s="640">
        <v>1270000</v>
      </c>
      <c r="G16" s="640">
        <v>741242</v>
      </c>
      <c r="H16" s="640"/>
      <c r="I16" s="634">
        <v>0</v>
      </c>
      <c r="J16" s="635">
        <f>3281242-1270000</f>
        <v>2011242</v>
      </c>
      <c r="K16" s="1335"/>
    </row>
    <row r="17" spans="1:11" s="630" customFormat="1" ht="22.5" x14ac:dyDescent="0.2">
      <c r="A17" s="644" t="s">
        <v>17</v>
      </c>
      <c r="B17" s="997" t="s">
        <v>858</v>
      </c>
      <c r="C17" s="308">
        <v>2018</v>
      </c>
      <c r="D17" s="640">
        <v>9895526</v>
      </c>
      <c r="E17" s="640">
        <v>1668000</v>
      </c>
      <c r="F17" s="640">
        <v>1668000</v>
      </c>
      <c r="G17" s="640">
        <v>1668000</v>
      </c>
      <c r="H17" s="640">
        <v>1668000</v>
      </c>
      <c r="I17" s="634">
        <f>2389526-1668000</f>
        <v>721526</v>
      </c>
      <c r="J17" s="635">
        <f>7393526-1668000</f>
        <v>5725526</v>
      </c>
      <c r="K17" s="1335"/>
    </row>
    <row r="18" spans="1:11" s="630" customFormat="1" ht="22.5" x14ac:dyDescent="0.2">
      <c r="A18" s="644" t="s">
        <v>18</v>
      </c>
      <c r="B18" s="997" t="s">
        <v>859</v>
      </c>
      <c r="C18" s="308">
        <v>2018</v>
      </c>
      <c r="D18" s="640">
        <v>9042762</v>
      </c>
      <c r="E18" s="640">
        <v>1834504</v>
      </c>
      <c r="F18" s="640">
        <v>1834504</v>
      </c>
      <c r="G18" s="640">
        <v>1834504</v>
      </c>
      <c r="H18" s="640">
        <v>1704746</v>
      </c>
      <c r="I18" s="634"/>
      <c r="J18" s="635">
        <v>5373754</v>
      </c>
      <c r="K18" s="1335"/>
    </row>
    <row r="19" spans="1:11" s="630" customFormat="1" ht="33.75" x14ac:dyDescent="0.2">
      <c r="A19" s="644" t="s">
        <v>19</v>
      </c>
      <c r="B19" s="997" t="s">
        <v>860</v>
      </c>
      <c r="C19" s="308">
        <v>2018</v>
      </c>
      <c r="D19" s="640">
        <v>5020437</v>
      </c>
      <c r="E19" s="640">
        <v>1848697</v>
      </c>
      <c r="F19" s="640"/>
      <c r="G19" s="640">
        <v>0</v>
      </c>
      <c r="H19" s="640">
        <v>0</v>
      </c>
      <c r="I19" s="634">
        <v>0</v>
      </c>
      <c r="J19" s="635"/>
      <c r="K19" s="1335"/>
    </row>
    <row r="20" spans="1:11" s="630" customFormat="1" x14ac:dyDescent="0.2">
      <c r="A20" s="644" t="s">
        <v>20</v>
      </c>
      <c r="B20" s="997" t="s">
        <v>861</v>
      </c>
      <c r="C20" s="308">
        <v>2018</v>
      </c>
      <c r="D20" s="640">
        <v>25000000</v>
      </c>
      <c r="E20" s="640">
        <v>2777600</v>
      </c>
      <c r="F20" s="640">
        <v>2777600</v>
      </c>
      <c r="G20" s="640">
        <v>2777600</v>
      </c>
      <c r="H20" s="640">
        <v>2777600</v>
      </c>
      <c r="I20" s="634">
        <f>13889600-2777600</f>
        <v>11112000</v>
      </c>
      <c r="J20" s="635">
        <f>22222400-2777600</f>
        <v>19444800</v>
      </c>
      <c r="K20" s="1335"/>
    </row>
    <row r="21" spans="1:11" s="630" customFormat="1" ht="22.5" x14ac:dyDescent="0.2">
      <c r="A21" s="644" t="s">
        <v>21</v>
      </c>
      <c r="B21" s="997" t="s">
        <v>862</v>
      </c>
      <c r="C21" s="308">
        <v>2019</v>
      </c>
      <c r="D21" s="640">
        <v>4066909</v>
      </c>
      <c r="E21" s="640">
        <v>1016000</v>
      </c>
      <c r="F21" s="640">
        <v>1016000</v>
      </c>
      <c r="G21" s="640">
        <v>1016000</v>
      </c>
      <c r="H21" s="640">
        <v>453644</v>
      </c>
      <c r="I21" s="634"/>
      <c r="J21" s="635">
        <f>3501644-1016000</f>
        <v>2485644</v>
      </c>
      <c r="K21" s="1335"/>
    </row>
    <row r="22" spans="1:11" s="630" customFormat="1" ht="22.5" x14ac:dyDescent="0.2">
      <c r="A22" s="644" t="s">
        <v>22</v>
      </c>
      <c r="B22" s="632" t="s">
        <v>863</v>
      </c>
      <c r="C22" s="308">
        <v>2019</v>
      </c>
      <c r="D22" s="643">
        <v>17309597</v>
      </c>
      <c r="E22" s="643">
        <v>3600000</v>
      </c>
      <c r="F22" s="643">
        <v>3600000</v>
      </c>
      <c r="G22" s="643">
        <v>3600000</v>
      </c>
      <c r="H22" s="643">
        <v>3600000</v>
      </c>
      <c r="I22" s="647">
        <f>5609597-3600000</f>
        <v>2009597</v>
      </c>
      <c r="J22" s="635">
        <f>16409597-3600000</f>
        <v>12809597</v>
      </c>
      <c r="K22" s="1335"/>
    </row>
    <row r="23" spans="1:11" ht="22.5" x14ac:dyDescent="0.2">
      <c r="A23" s="644" t="s">
        <v>23</v>
      </c>
      <c r="B23" s="632" t="s">
        <v>864</v>
      </c>
      <c r="C23" s="308">
        <v>2020</v>
      </c>
      <c r="D23" s="643">
        <v>11502781</v>
      </c>
      <c r="E23" s="643">
        <v>0</v>
      </c>
      <c r="F23" s="643">
        <v>2300740</v>
      </c>
      <c r="G23" s="643">
        <v>2300740</v>
      </c>
      <c r="H23" s="643">
        <v>2300740</v>
      </c>
      <c r="I23" s="647">
        <v>4600561</v>
      </c>
      <c r="J23" s="635">
        <v>11502781</v>
      </c>
      <c r="K23" s="1335"/>
    </row>
    <row r="24" spans="1:11" ht="22.5" x14ac:dyDescent="0.2">
      <c r="A24" s="641" t="s">
        <v>24</v>
      </c>
      <c r="B24" s="632" t="s">
        <v>1052</v>
      </c>
      <c r="C24" s="308">
        <v>2021</v>
      </c>
      <c r="D24" s="643">
        <v>7058824</v>
      </c>
      <c r="E24" s="643"/>
      <c r="F24" s="643"/>
      <c r="G24" s="643">
        <v>1568620</v>
      </c>
      <c r="H24" s="643">
        <v>1568620</v>
      </c>
      <c r="I24" s="647">
        <v>3921584</v>
      </c>
      <c r="J24" s="635">
        <v>7058824</v>
      </c>
      <c r="K24" s="1335"/>
    </row>
    <row r="25" spans="1:11" s="951" customFormat="1" ht="13.5" thickBot="1" x14ac:dyDescent="0.25">
      <c r="A25" s="1143" t="s">
        <v>25</v>
      </c>
      <c r="B25" s="1144" t="s">
        <v>1053</v>
      </c>
      <c r="C25" s="1145">
        <v>2021</v>
      </c>
      <c r="D25" s="1146">
        <v>167000000</v>
      </c>
      <c r="E25" s="1146"/>
      <c r="F25" s="1146"/>
      <c r="G25" s="1146"/>
      <c r="H25" s="1146">
        <v>13920000</v>
      </c>
      <c r="I25" s="1147">
        <v>153080000</v>
      </c>
      <c r="J25" s="1148">
        <v>167000000</v>
      </c>
      <c r="K25" s="1335"/>
    </row>
    <row r="26" spans="1:11" ht="13.5" thickBot="1" x14ac:dyDescent="0.25">
      <c r="A26" s="642" t="s">
        <v>26</v>
      </c>
      <c r="B26" s="565" t="s">
        <v>865</v>
      </c>
      <c r="C26" s="314"/>
      <c r="D26" s="315">
        <f>D6+D8</f>
        <v>433853131</v>
      </c>
      <c r="E26" s="315">
        <f t="shared" ref="E26:J26" si="1">E6+E8</f>
        <v>24993747</v>
      </c>
      <c r="F26" s="315">
        <f t="shared" si="1"/>
        <v>22728296</v>
      </c>
      <c r="G26" s="315">
        <f t="shared" si="1"/>
        <v>21918706</v>
      </c>
      <c r="H26" s="315">
        <f t="shared" si="1"/>
        <v>34404350</v>
      </c>
      <c r="I26" s="316">
        <f t="shared" si="1"/>
        <v>186906423</v>
      </c>
      <c r="J26" s="317">
        <f t="shared" si="1"/>
        <v>265957775</v>
      </c>
      <c r="K26" s="1335"/>
    </row>
  </sheetData>
  <mergeCells count="10">
    <mergeCell ref="A1:J1"/>
    <mergeCell ref="K2:K26"/>
    <mergeCell ref="A3:A4"/>
    <mergeCell ref="B3:B4"/>
    <mergeCell ref="C3:C4"/>
    <mergeCell ref="D3:D4"/>
    <mergeCell ref="E3:E4"/>
    <mergeCell ref="J3:J4"/>
    <mergeCell ref="A2:J2"/>
    <mergeCell ref="F3:I3"/>
  </mergeCells>
  <printOptions horizontalCentered="1"/>
  <pageMargins left="0.78740157480314965" right="0.78740157480314965" top="1.39" bottom="0.98425196850393704" header="0.78740157480314965" footer="0.78740157480314965"/>
  <pageSetup paperSize="9" scale="69" orientation="landscape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0"/>
  <dimension ref="A1:I22"/>
  <sheetViews>
    <sheetView zoomScale="120" zoomScaleNormal="120" workbookViewId="0">
      <selection activeCell="E13" sqref="E13"/>
    </sheetView>
  </sheetViews>
  <sheetFormatPr defaultRowHeight="12.75" x14ac:dyDescent="0.2"/>
  <cols>
    <col min="1" max="1" width="6.83203125" style="20" customWidth="1"/>
    <col min="2" max="2" width="50.33203125" style="19" customWidth="1"/>
    <col min="3" max="4" width="12.83203125" style="19" customWidth="1"/>
    <col min="5" max="5" width="14.83203125" style="19" customWidth="1"/>
    <col min="6" max="6" width="13.83203125" style="19" customWidth="1"/>
    <col min="7" max="7" width="15.5" style="19" customWidth="1"/>
    <col min="8" max="8" width="16.83203125" style="19" customWidth="1"/>
    <col min="9" max="9" width="5.6640625" style="19" customWidth="1"/>
    <col min="10" max="16384" width="9.33203125" style="19"/>
  </cols>
  <sheetData>
    <row r="1" spans="1:9" ht="17.25" customHeight="1" x14ac:dyDescent="0.2">
      <c r="A1" s="1344" t="s">
        <v>728</v>
      </c>
      <c r="B1" s="1406"/>
      <c r="C1" s="1406"/>
      <c r="D1" s="1406"/>
      <c r="E1" s="1406"/>
      <c r="F1" s="1406"/>
      <c r="G1" s="1406"/>
      <c r="H1" s="1406"/>
    </row>
    <row r="2" spans="1:9" x14ac:dyDescent="0.2">
      <c r="A2" s="273"/>
      <c r="B2" s="274"/>
      <c r="C2" s="274"/>
      <c r="D2" s="274"/>
      <c r="E2" s="274"/>
      <c r="F2" s="274"/>
      <c r="G2" s="274"/>
      <c r="H2" s="274"/>
    </row>
    <row r="3" spans="1:9" s="318" customFormat="1" ht="15.75" thickBot="1" x14ac:dyDescent="0.25">
      <c r="A3" s="1429" t="s">
        <v>866</v>
      </c>
      <c r="B3" s="1429"/>
      <c r="C3" s="1429"/>
      <c r="D3" s="1429"/>
      <c r="E3" s="1414" t="str">
        <f>Z_2.tájékoztató_t.!A2</f>
        <v>Forintban</v>
      </c>
      <c r="F3" s="1414"/>
      <c r="G3" s="1414"/>
      <c r="H3" s="1414"/>
      <c r="I3" s="1418" t="str">
        <f>CONCATENATE("18. melléklet, 3. tájékoztató tábla ",Z_ALAPADATOK!A7," ",Z_ALAPADATOK!B7," ",Z_ALAPADATOK!C7," ",Z_ALAPADATOK!D7," ",Z_ALAPADATOK!E7," ",Z_ALAPADATOK!F7," ",Z_ALAPADATOK!G7," ",Z_ALAPADATOK!H7)</f>
        <v>18. melléklet, 3. tájékoztató tábla a 12 / 2022. ( V.30. ) önkormányzati rendelethez</v>
      </c>
    </row>
    <row r="4" spans="1:9" s="296" customFormat="1" ht="26.45" customHeight="1" x14ac:dyDescent="0.2">
      <c r="A4" s="1419" t="s">
        <v>51</v>
      </c>
      <c r="B4" s="1421" t="s">
        <v>478</v>
      </c>
      <c r="C4" s="1419" t="s">
        <v>479</v>
      </c>
      <c r="D4" s="1419" t="s">
        <v>480</v>
      </c>
      <c r="E4" s="1423" t="str">
        <f>CONCATENATE("Hitel, kölcsön állomány ",Z_ALAPADATOK!B1,". dec. 31-én")</f>
        <v>Hitel, kölcsön állomány 2021. dec. 31-én</v>
      </c>
      <c r="F4" s="1425" t="s">
        <v>481</v>
      </c>
      <c r="G4" s="1426"/>
      <c r="H4" s="1427" t="str">
        <f>CONCATENATE(G5," után")</f>
        <v>2023. után</v>
      </c>
      <c r="I4" s="1418"/>
    </row>
    <row r="5" spans="1:9" s="300" customFormat="1" ht="40.5" customHeight="1" thickBot="1" x14ac:dyDescent="0.25">
      <c r="A5" s="1420"/>
      <c r="B5" s="1422"/>
      <c r="C5" s="1422"/>
      <c r="D5" s="1420"/>
      <c r="E5" s="1424"/>
      <c r="F5" s="454" t="str">
        <f>Z_2.tájékoztató_t.!F4</f>
        <v>2022.</v>
      </c>
      <c r="G5" s="455" t="str">
        <f>Z_2.tájékoztató_t.!G4</f>
        <v>2023.</v>
      </c>
      <c r="H5" s="1428"/>
      <c r="I5" s="1418"/>
    </row>
    <row r="6" spans="1:9" s="319" customFormat="1" ht="12.95" customHeight="1" thickBot="1" x14ac:dyDescent="0.25">
      <c r="A6" s="456" t="s">
        <v>354</v>
      </c>
      <c r="B6" s="457" t="s">
        <v>355</v>
      </c>
      <c r="C6" s="457" t="s">
        <v>356</v>
      </c>
      <c r="D6" s="458" t="s">
        <v>358</v>
      </c>
      <c r="E6" s="456" t="s">
        <v>357</v>
      </c>
      <c r="F6" s="458" t="s">
        <v>359</v>
      </c>
      <c r="G6" s="458" t="s">
        <v>360</v>
      </c>
      <c r="H6" s="250" t="s">
        <v>361</v>
      </c>
      <c r="I6" s="1418"/>
    </row>
    <row r="7" spans="1:9" ht="22.5" customHeight="1" thickBot="1" x14ac:dyDescent="0.25">
      <c r="A7" s="320" t="s">
        <v>6</v>
      </c>
      <c r="B7" s="321" t="s">
        <v>482</v>
      </c>
      <c r="C7" s="322"/>
      <c r="D7" s="323"/>
      <c r="E7" s="324">
        <f>SUM(E8:E13)</f>
        <v>0</v>
      </c>
      <c r="F7" s="325">
        <f>SUM(F8:F13)</f>
        <v>0</v>
      </c>
      <c r="G7" s="325">
        <f>SUM(G8:G13)</f>
        <v>0</v>
      </c>
      <c r="H7" s="326">
        <f>SUM(H8:H13)</f>
        <v>0</v>
      </c>
      <c r="I7" s="1418"/>
    </row>
    <row r="8" spans="1:9" ht="22.5" customHeight="1" x14ac:dyDescent="0.2">
      <c r="A8" s="327" t="s">
        <v>7</v>
      </c>
      <c r="B8" s="328" t="s">
        <v>476</v>
      </c>
      <c r="C8" s="329"/>
      <c r="D8" s="330"/>
      <c r="E8" s="331"/>
      <c r="F8" s="14"/>
      <c r="G8" s="14"/>
      <c r="H8" s="332"/>
      <c r="I8" s="1418"/>
    </row>
    <row r="9" spans="1:9" ht="22.5" customHeight="1" x14ac:dyDescent="0.2">
      <c r="A9" s="327" t="s">
        <v>8</v>
      </c>
      <c r="B9" s="328" t="s">
        <v>476</v>
      </c>
      <c r="C9" s="329"/>
      <c r="D9" s="330"/>
      <c r="E9" s="331"/>
      <c r="F9" s="14"/>
      <c r="G9" s="14"/>
      <c r="H9" s="332"/>
      <c r="I9" s="1418"/>
    </row>
    <row r="10" spans="1:9" ht="22.5" customHeight="1" x14ac:dyDescent="0.2">
      <c r="A10" s="327" t="s">
        <v>9</v>
      </c>
      <c r="B10" s="328" t="s">
        <v>476</v>
      </c>
      <c r="C10" s="329"/>
      <c r="D10" s="330"/>
      <c r="E10" s="331"/>
      <c r="F10" s="14"/>
      <c r="G10" s="14"/>
      <c r="H10" s="332"/>
      <c r="I10" s="1418"/>
    </row>
    <row r="11" spans="1:9" ht="22.5" customHeight="1" x14ac:dyDescent="0.2">
      <c r="A11" s="327" t="s">
        <v>10</v>
      </c>
      <c r="B11" s="328" t="s">
        <v>476</v>
      </c>
      <c r="C11" s="329"/>
      <c r="D11" s="330"/>
      <c r="E11" s="331"/>
      <c r="F11" s="14"/>
      <c r="G11" s="14"/>
      <c r="H11" s="332"/>
      <c r="I11" s="1418"/>
    </row>
    <row r="12" spans="1:9" ht="22.5" customHeight="1" x14ac:dyDescent="0.2">
      <c r="A12" s="327" t="s">
        <v>11</v>
      </c>
      <c r="B12" s="328" t="s">
        <v>476</v>
      </c>
      <c r="C12" s="329"/>
      <c r="D12" s="330"/>
      <c r="E12" s="331"/>
      <c r="F12" s="14"/>
      <c r="G12" s="14"/>
      <c r="H12" s="332"/>
      <c r="I12" s="1418"/>
    </row>
    <row r="13" spans="1:9" ht="22.5" customHeight="1" thickBot="1" x14ac:dyDescent="0.25">
      <c r="A13" s="327" t="s">
        <v>12</v>
      </c>
      <c r="B13" s="328" t="s">
        <v>476</v>
      </c>
      <c r="C13" s="329"/>
      <c r="D13" s="330"/>
      <c r="E13" s="331"/>
      <c r="F13" s="14"/>
      <c r="G13" s="14"/>
      <c r="H13" s="332"/>
      <c r="I13" s="1418"/>
    </row>
    <row r="14" spans="1:9" ht="22.5" customHeight="1" thickBot="1" x14ac:dyDescent="0.25">
      <c r="A14" s="320" t="s">
        <v>13</v>
      </c>
      <c r="B14" s="321" t="s">
        <v>483</v>
      </c>
      <c r="C14" s="333"/>
      <c r="D14" s="334"/>
      <c r="E14" s="324">
        <f>SUM(E15:E20)</f>
        <v>0</v>
      </c>
      <c r="F14" s="325">
        <f>SUM(F15:F20)</f>
        <v>0</v>
      </c>
      <c r="G14" s="325">
        <f>SUM(G15:G20)</f>
        <v>0</v>
      </c>
      <c r="H14" s="326">
        <f>SUM(H15:H20)</f>
        <v>0</v>
      </c>
      <c r="I14" s="1418"/>
    </row>
    <row r="15" spans="1:9" ht="22.5" customHeight="1" x14ac:dyDescent="0.2">
      <c r="A15" s="327" t="s">
        <v>14</v>
      </c>
      <c r="B15" s="328" t="s">
        <v>476</v>
      </c>
      <c r="C15" s="329"/>
      <c r="D15" s="330"/>
      <c r="E15" s="331"/>
      <c r="F15" s="14"/>
      <c r="G15" s="14"/>
      <c r="H15" s="332"/>
      <c r="I15" s="1418"/>
    </row>
    <row r="16" spans="1:9" ht="22.5" customHeight="1" x14ac:dyDescent="0.2">
      <c r="A16" s="327" t="s">
        <v>15</v>
      </c>
      <c r="B16" s="328" t="s">
        <v>476</v>
      </c>
      <c r="C16" s="329"/>
      <c r="D16" s="330"/>
      <c r="E16" s="331"/>
      <c r="F16" s="14"/>
      <c r="G16" s="14"/>
      <c r="H16" s="332"/>
      <c r="I16" s="1418"/>
    </row>
    <row r="17" spans="1:9" ht="22.5" customHeight="1" x14ac:dyDescent="0.2">
      <c r="A17" s="327" t="s">
        <v>16</v>
      </c>
      <c r="B17" s="328" t="s">
        <v>476</v>
      </c>
      <c r="C17" s="329"/>
      <c r="D17" s="330"/>
      <c r="E17" s="331"/>
      <c r="F17" s="14"/>
      <c r="G17" s="14"/>
      <c r="H17" s="332"/>
      <c r="I17" s="1418"/>
    </row>
    <row r="18" spans="1:9" ht="22.5" customHeight="1" x14ac:dyDescent="0.2">
      <c r="A18" s="327" t="s">
        <v>17</v>
      </c>
      <c r="B18" s="328" t="s">
        <v>476</v>
      </c>
      <c r="C18" s="329"/>
      <c r="D18" s="330"/>
      <c r="E18" s="331"/>
      <c r="F18" s="14"/>
      <c r="G18" s="14"/>
      <c r="H18" s="332"/>
      <c r="I18" s="1418"/>
    </row>
    <row r="19" spans="1:9" ht="22.5" customHeight="1" x14ac:dyDescent="0.2">
      <c r="A19" s="327" t="s">
        <v>18</v>
      </c>
      <c r="B19" s="328" t="s">
        <v>476</v>
      </c>
      <c r="C19" s="329"/>
      <c r="D19" s="330"/>
      <c r="E19" s="331"/>
      <c r="F19" s="14"/>
      <c r="G19" s="14"/>
      <c r="H19" s="332"/>
      <c r="I19" s="1418"/>
    </row>
    <row r="20" spans="1:9" ht="22.5" customHeight="1" thickBot="1" x14ac:dyDescent="0.25">
      <c r="A20" s="327" t="s">
        <v>19</v>
      </c>
      <c r="B20" s="328" t="s">
        <v>476</v>
      </c>
      <c r="C20" s="329"/>
      <c r="D20" s="330"/>
      <c r="E20" s="331"/>
      <c r="F20" s="14"/>
      <c r="G20" s="14"/>
      <c r="H20" s="332"/>
      <c r="I20" s="1418"/>
    </row>
    <row r="21" spans="1:9" ht="22.5" customHeight="1" thickBot="1" x14ac:dyDescent="0.25">
      <c r="A21" s="320" t="s">
        <v>20</v>
      </c>
      <c r="B21" s="321" t="s">
        <v>484</v>
      </c>
      <c r="C21" s="322"/>
      <c r="D21" s="323"/>
      <c r="E21" s="324">
        <f>E7+E14</f>
        <v>0</v>
      </c>
      <c r="F21" s="325">
        <f>F7+F14</f>
        <v>0</v>
      </c>
      <c r="G21" s="325">
        <f>G7+G14</f>
        <v>0</v>
      </c>
      <c r="H21" s="326">
        <f>H7+H14</f>
        <v>0</v>
      </c>
      <c r="I21" s="1418"/>
    </row>
    <row r="22" spans="1:9" ht="20.100000000000001" customHeight="1" x14ac:dyDescent="0.2"/>
  </sheetData>
  <mergeCells count="11">
    <mergeCell ref="A1:H1"/>
    <mergeCell ref="I3:I21"/>
    <mergeCell ref="A4:A5"/>
    <mergeCell ref="B4:B5"/>
    <mergeCell ref="C4:C5"/>
    <mergeCell ref="D4:D5"/>
    <mergeCell ref="E4:E5"/>
    <mergeCell ref="F4:G4"/>
    <mergeCell ref="H4:H5"/>
    <mergeCell ref="A3:D3"/>
    <mergeCell ref="E3:H3"/>
  </mergeCells>
  <printOptions horizontalCentered="1"/>
  <pageMargins left="0.59055118110236227" right="0.59055118110236227" top="0.78740157480314965" bottom="0.78740157480314965" header="0.39370078740157483" footer="0.39370078740157483"/>
  <pageSetup paperSize="9" scale="95" orientation="landscape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1"/>
  <dimension ref="A1:J19"/>
  <sheetViews>
    <sheetView zoomScale="120" zoomScaleNormal="120" workbookViewId="0">
      <selection activeCell="G11" sqref="G11"/>
    </sheetView>
  </sheetViews>
  <sheetFormatPr defaultRowHeight="12.75" x14ac:dyDescent="0.2"/>
  <cols>
    <col min="1" max="1" width="5.5" style="23" customWidth="1"/>
    <col min="2" max="2" width="36.83203125" style="23" customWidth="1"/>
    <col min="3" max="8" width="13.83203125" style="23" customWidth="1"/>
    <col min="9" max="9" width="15.1640625" style="23" customWidth="1"/>
    <col min="10" max="10" width="5" style="23" customWidth="1"/>
    <col min="11" max="16384" width="9.33203125" style="23"/>
  </cols>
  <sheetData>
    <row r="1" spans="1:10" ht="34.5" customHeight="1" x14ac:dyDescent="0.2">
      <c r="A1" s="1430" t="str">
        <f>CONCATENATE("Adósság állomány alakulása lejárat, eszközök, bel- és külföldi hitelezők szerinti bontásban
",Z_ALAPADATOK!B1,". december 31-én")</f>
        <v>Adósság állomány alakulása lejárat, eszközök, bel- és külföldi hitelezők szerinti bontásban
2021. december 31-én</v>
      </c>
      <c r="B1" s="1431"/>
      <c r="C1" s="1431"/>
      <c r="D1" s="1431"/>
      <c r="E1" s="1431"/>
      <c r="F1" s="1431"/>
      <c r="G1" s="1431"/>
      <c r="H1" s="1431"/>
      <c r="I1" s="1431"/>
      <c r="J1" s="1418" t="str">
        <f>CONCATENATE("19. melléklet, 4. tájékoztató tábla ",Z_ALAPADATOK!A7," ",Z_ALAPADATOK!B7," ",Z_ALAPADATOK!C7," ",Z_ALAPADATOK!D7," ",Z_ALAPADATOK!E7," ",Z_ALAPADATOK!F7," ",Z_ALAPADATOK!G7," ",Z_ALAPADATOK!H7)</f>
        <v>19. melléklet, 4. tájékoztató tábla a 12 / 2022. ( V.30. ) önkormányzati rendelethez</v>
      </c>
    </row>
    <row r="2" spans="1:10" ht="13.5" customHeight="1" thickBot="1" x14ac:dyDescent="0.3">
      <c r="A2" s="1452" t="str">
        <f>Z_3.tájékoztató_t.!E3</f>
        <v>Forintban</v>
      </c>
      <c r="B2" s="1452"/>
      <c r="C2" s="1452"/>
      <c r="D2" s="1452"/>
      <c r="E2" s="1452"/>
      <c r="F2" s="1452"/>
      <c r="G2" s="1452"/>
      <c r="H2" s="1452"/>
      <c r="I2" s="1452"/>
      <c r="J2" s="1418"/>
    </row>
    <row r="3" spans="1:10" ht="13.5" thickBot="1" x14ac:dyDescent="0.25">
      <c r="A3" s="1432" t="s">
        <v>4</v>
      </c>
      <c r="B3" s="1434" t="s">
        <v>485</v>
      </c>
      <c r="C3" s="1436" t="s">
        <v>486</v>
      </c>
      <c r="D3" s="1438" t="s">
        <v>487</v>
      </c>
      <c r="E3" s="1439"/>
      <c r="F3" s="1439"/>
      <c r="G3" s="1439"/>
      <c r="H3" s="1439"/>
      <c r="I3" s="1440" t="s">
        <v>747</v>
      </c>
      <c r="J3" s="1418"/>
    </row>
    <row r="4" spans="1:10" s="33" customFormat="1" ht="42" customHeight="1" thickBot="1" x14ac:dyDescent="0.25">
      <c r="A4" s="1433"/>
      <c r="B4" s="1435"/>
      <c r="C4" s="1437"/>
      <c r="D4" s="268" t="s">
        <v>488</v>
      </c>
      <c r="E4" s="268" t="s">
        <v>489</v>
      </c>
      <c r="F4" s="268" t="s">
        <v>490</v>
      </c>
      <c r="G4" s="459" t="s">
        <v>491</v>
      </c>
      <c r="H4" s="459" t="s">
        <v>492</v>
      </c>
      <c r="I4" s="1441"/>
      <c r="J4" s="1418"/>
    </row>
    <row r="5" spans="1:10" s="33" customFormat="1" ht="12" customHeight="1" thickBot="1" x14ac:dyDescent="0.25">
      <c r="A5" s="289" t="s">
        <v>354</v>
      </c>
      <c r="B5" s="290" t="s">
        <v>355</v>
      </c>
      <c r="C5" s="290" t="s">
        <v>356</v>
      </c>
      <c r="D5" s="290" t="s">
        <v>358</v>
      </c>
      <c r="E5" s="290" t="s">
        <v>357</v>
      </c>
      <c r="F5" s="290" t="s">
        <v>359</v>
      </c>
      <c r="G5" s="290" t="s">
        <v>360</v>
      </c>
      <c r="H5" s="290" t="s">
        <v>493</v>
      </c>
      <c r="I5" s="292" t="s">
        <v>494</v>
      </c>
      <c r="J5" s="1418"/>
    </row>
    <row r="6" spans="1:10" s="33" customFormat="1" ht="18" customHeight="1" x14ac:dyDescent="0.2">
      <c r="A6" s="1442" t="s">
        <v>495</v>
      </c>
      <c r="B6" s="1443"/>
      <c r="C6" s="1443"/>
      <c r="D6" s="1443"/>
      <c r="E6" s="1443"/>
      <c r="F6" s="1443"/>
      <c r="G6" s="1443"/>
      <c r="H6" s="1443"/>
      <c r="I6" s="1444"/>
      <c r="J6" s="1418"/>
    </row>
    <row r="7" spans="1:10" ht="15.95" customHeight="1" x14ac:dyDescent="0.2">
      <c r="A7" s="78" t="s">
        <v>6</v>
      </c>
      <c r="B7" s="61" t="s">
        <v>496</v>
      </c>
      <c r="C7" s="53"/>
      <c r="D7" s="53"/>
      <c r="E7" s="53"/>
      <c r="F7" s="53"/>
      <c r="G7" s="335"/>
      <c r="H7" s="336">
        <f t="shared" ref="H7:H13" si="0">SUM(D7:G7)</f>
        <v>0</v>
      </c>
      <c r="I7" s="79">
        <f t="shared" ref="I7:I13" si="1">C7+H7</f>
        <v>0</v>
      </c>
      <c r="J7" s="1418"/>
    </row>
    <row r="8" spans="1:10" ht="22.5" x14ac:dyDescent="0.2">
      <c r="A8" s="78" t="s">
        <v>7</v>
      </c>
      <c r="B8" s="61" t="s">
        <v>124</v>
      </c>
      <c r="C8" s="53"/>
      <c r="D8" s="53"/>
      <c r="E8" s="53"/>
      <c r="F8" s="53"/>
      <c r="G8" s="335"/>
      <c r="H8" s="336">
        <f t="shared" si="0"/>
        <v>0</v>
      </c>
      <c r="I8" s="79">
        <f t="shared" si="1"/>
        <v>0</v>
      </c>
      <c r="J8" s="1418"/>
    </row>
    <row r="9" spans="1:10" ht="22.5" x14ac:dyDescent="0.2">
      <c r="A9" s="78" t="s">
        <v>8</v>
      </c>
      <c r="B9" s="61" t="s">
        <v>125</v>
      </c>
      <c r="C9" s="53"/>
      <c r="D9" s="53"/>
      <c r="E9" s="53"/>
      <c r="F9" s="53"/>
      <c r="G9" s="335"/>
      <c r="H9" s="336">
        <f t="shared" si="0"/>
        <v>0</v>
      </c>
      <c r="I9" s="79">
        <f t="shared" si="1"/>
        <v>0</v>
      </c>
      <c r="J9" s="1418"/>
    </row>
    <row r="10" spans="1:10" ht="15.95" customHeight="1" x14ac:dyDescent="0.2">
      <c r="A10" s="78" t="s">
        <v>9</v>
      </c>
      <c r="B10" s="61" t="s">
        <v>126</v>
      </c>
      <c r="C10" s="53"/>
      <c r="D10" s="53"/>
      <c r="E10" s="53"/>
      <c r="F10" s="53"/>
      <c r="G10" s="335"/>
      <c r="H10" s="336">
        <f t="shared" si="0"/>
        <v>0</v>
      </c>
      <c r="I10" s="79">
        <f t="shared" si="1"/>
        <v>0</v>
      </c>
      <c r="J10" s="1418"/>
    </row>
    <row r="11" spans="1:10" ht="22.5" x14ac:dyDescent="0.2">
      <c r="A11" s="78" t="s">
        <v>10</v>
      </c>
      <c r="B11" s="61" t="s">
        <v>127</v>
      </c>
      <c r="C11" s="53"/>
      <c r="D11" s="53"/>
      <c r="E11" s="53"/>
      <c r="F11" s="53"/>
      <c r="G11" s="335"/>
      <c r="H11" s="336">
        <f t="shared" si="0"/>
        <v>0</v>
      </c>
      <c r="I11" s="79">
        <f t="shared" si="1"/>
        <v>0</v>
      </c>
      <c r="J11" s="1418"/>
    </row>
    <row r="12" spans="1:10" ht="15.95" customHeight="1" x14ac:dyDescent="0.2">
      <c r="A12" s="80" t="s">
        <v>11</v>
      </c>
      <c r="B12" s="81" t="s">
        <v>497</v>
      </c>
      <c r="C12" s="54">
        <f>254754+8847809+954346+1393040+540847</f>
        <v>11990796</v>
      </c>
      <c r="D12" s="54">
        <v>3872964</v>
      </c>
      <c r="E12" s="54"/>
      <c r="F12" s="54"/>
      <c r="G12" s="337"/>
      <c r="H12" s="336">
        <f t="shared" si="0"/>
        <v>3872964</v>
      </c>
      <c r="I12" s="79">
        <f t="shared" si="1"/>
        <v>15863760</v>
      </c>
      <c r="J12" s="1418"/>
    </row>
    <row r="13" spans="1:10" ht="15.95" customHeight="1" thickBot="1" x14ac:dyDescent="0.25">
      <c r="A13" s="338" t="s">
        <v>12</v>
      </c>
      <c r="B13" s="339" t="s">
        <v>498</v>
      </c>
      <c r="C13" s="340"/>
      <c r="D13" s="340"/>
      <c r="E13" s="340"/>
      <c r="F13" s="340"/>
      <c r="G13" s="341"/>
      <c r="H13" s="336">
        <f t="shared" si="0"/>
        <v>0</v>
      </c>
      <c r="I13" s="79">
        <f t="shared" si="1"/>
        <v>0</v>
      </c>
      <c r="J13" s="1418"/>
    </row>
    <row r="14" spans="1:10" s="55" customFormat="1" ht="18" customHeight="1" thickBot="1" x14ac:dyDescent="0.25">
      <c r="A14" s="1445" t="s">
        <v>499</v>
      </c>
      <c r="B14" s="1446"/>
      <c r="C14" s="82">
        <f t="shared" ref="C14:I14" si="2">SUM(C7:C13)</f>
        <v>11990796</v>
      </c>
      <c r="D14" s="82">
        <f>SUM(D7:D13)</f>
        <v>3872964</v>
      </c>
      <c r="E14" s="82">
        <f t="shared" si="2"/>
        <v>0</v>
      </c>
      <c r="F14" s="82">
        <f t="shared" si="2"/>
        <v>0</v>
      </c>
      <c r="G14" s="342">
        <f t="shared" si="2"/>
        <v>0</v>
      </c>
      <c r="H14" s="342">
        <f t="shared" si="2"/>
        <v>3872964</v>
      </c>
      <c r="I14" s="83">
        <f t="shared" si="2"/>
        <v>15863760</v>
      </c>
      <c r="J14" s="1418"/>
    </row>
    <row r="15" spans="1:10" s="52" customFormat="1" ht="18" customHeight="1" x14ac:dyDescent="0.2">
      <c r="A15" s="1447" t="s">
        <v>500</v>
      </c>
      <c r="B15" s="1448"/>
      <c r="C15" s="1448"/>
      <c r="D15" s="1448"/>
      <c r="E15" s="1448"/>
      <c r="F15" s="1448"/>
      <c r="G15" s="1448"/>
      <c r="H15" s="1448"/>
      <c r="I15" s="1449"/>
      <c r="J15" s="1418"/>
    </row>
    <row r="16" spans="1:10" s="52" customFormat="1" x14ac:dyDescent="0.2">
      <c r="A16" s="78" t="s">
        <v>6</v>
      </c>
      <c r="B16" s="61" t="s">
        <v>501</v>
      </c>
      <c r="C16" s="53"/>
      <c r="D16" s="53"/>
      <c r="E16" s="53"/>
      <c r="F16" s="53"/>
      <c r="G16" s="335"/>
      <c r="H16" s="336">
        <f>SUM(D16:G16)</f>
        <v>0</v>
      </c>
      <c r="I16" s="79">
        <f>C16+H16</f>
        <v>0</v>
      </c>
      <c r="J16" s="1418"/>
    </row>
    <row r="17" spans="1:10" ht="13.5" thickBot="1" x14ac:dyDescent="0.25">
      <c r="A17" s="338" t="s">
        <v>7</v>
      </c>
      <c r="B17" s="339" t="s">
        <v>498</v>
      </c>
      <c r="C17" s="340"/>
      <c r="D17" s="340"/>
      <c r="E17" s="340"/>
      <c r="F17" s="340"/>
      <c r="G17" s="341"/>
      <c r="H17" s="336">
        <f>SUM(D17:G17)</f>
        <v>0</v>
      </c>
      <c r="I17" s="343">
        <f>C17+H17</f>
        <v>0</v>
      </c>
      <c r="J17" s="1418"/>
    </row>
    <row r="18" spans="1:10" ht="15.95" customHeight="1" thickBot="1" x14ac:dyDescent="0.25">
      <c r="A18" s="1445" t="s">
        <v>502</v>
      </c>
      <c r="B18" s="1446"/>
      <c r="C18" s="82">
        <f t="shared" ref="C18:I18" si="3">SUM(C16:C17)</f>
        <v>0</v>
      </c>
      <c r="D18" s="82">
        <f t="shared" si="3"/>
        <v>0</v>
      </c>
      <c r="E18" s="82">
        <f t="shared" si="3"/>
        <v>0</v>
      </c>
      <c r="F18" s="82">
        <f t="shared" si="3"/>
        <v>0</v>
      </c>
      <c r="G18" s="342">
        <f t="shared" si="3"/>
        <v>0</v>
      </c>
      <c r="H18" s="342">
        <f t="shared" si="3"/>
        <v>0</v>
      </c>
      <c r="I18" s="83">
        <f t="shared" si="3"/>
        <v>0</v>
      </c>
      <c r="J18" s="1418"/>
    </row>
    <row r="19" spans="1:10" ht="18" customHeight="1" thickBot="1" x14ac:dyDescent="0.25">
      <c r="A19" s="1450" t="s">
        <v>503</v>
      </c>
      <c r="B19" s="1451"/>
      <c r="C19" s="344">
        <f t="shared" ref="C19:I19" si="4">C14+C18</f>
        <v>11990796</v>
      </c>
      <c r="D19" s="344">
        <f t="shared" si="4"/>
        <v>3872964</v>
      </c>
      <c r="E19" s="344">
        <f t="shared" si="4"/>
        <v>0</v>
      </c>
      <c r="F19" s="344">
        <f t="shared" si="4"/>
        <v>0</v>
      </c>
      <c r="G19" s="344">
        <f t="shared" si="4"/>
        <v>0</v>
      </c>
      <c r="H19" s="344">
        <f t="shared" si="4"/>
        <v>3872964</v>
      </c>
      <c r="I19" s="83">
        <f t="shared" si="4"/>
        <v>15863760</v>
      </c>
      <c r="J19" s="1418"/>
    </row>
  </sheetData>
  <mergeCells count="13">
    <mergeCell ref="A1:I1"/>
    <mergeCell ref="J1:J19"/>
    <mergeCell ref="A3:A4"/>
    <mergeCell ref="B3:B4"/>
    <mergeCell ref="C3:C4"/>
    <mergeCell ref="D3:H3"/>
    <mergeCell ref="I3:I4"/>
    <mergeCell ref="A6:I6"/>
    <mergeCell ref="A14:B14"/>
    <mergeCell ref="A15:I15"/>
    <mergeCell ref="A18:B18"/>
    <mergeCell ref="A19:B19"/>
    <mergeCell ref="A2:I2"/>
  </mergeCells>
  <printOptions horizontalCentered="1"/>
  <pageMargins left="0.59055118110236227" right="0.59055118110236227" top="1.1811023622047245" bottom="0.78740157480314965" header="0.59055118110236227" footer="0.59055118110236227"/>
  <pageSetup paperSize="9" orientation="landscape" horizontalDpi="300" verticalDpi="300" r:id="rId1"/>
  <headerFooter alignWithMargins="0">
    <oddHeader xml:space="preserve">&amp;C&amp;"Times New Roman CE,Félkövér dőlt"&amp;12
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2"/>
  <dimension ref="A1:D33"/>
  <sheetViews>
    <sheetView zoomScaleNormal="100" workbookViewId="0">
      <selection activeCell="D13" sqref="D13"/>
    </sheetView>
  </sheetViews>
  <sheetFormatPr defaultRowHeight="12.75" x14ac:dyDescent="0.2"/>
  <cols>
    <col min="1" max="1" width="5.83203125" style="361" customWidth="1"/>
    <col min="2" max="2" width="55.83203125" style="2" customWidth="1"/>
    <col min="3" max="4" width="14.83203125" style="2" customWidth="1"/>
    <col min="5" max="16384" width="9.33203125" style="2"/>
  </cols>
  <sheetData>
    <row r="1" spans="1:4" ht="15" x14ac:dyDescent="0.2">
      <c r="A1" s="1453" t="str">
        <f>CONCATENATE("20. melléklet, 5. tájékoztató tábla ",Z_ALAPADATOK!A7," ",Z_ALAPADATOK!B7," ",Z_ALAPADATOK!C7," ",Z_ALAPADATOK!D7," ",Z_ALAPADATOK!E7," ",Z_ALAPADATOK!F7," ",Z_ALAPADATOK!G7," ",Z_ALAPADATOK!H7)</f>
        <v>20. melléklet, 5. tájékoztató tábla a 12 / 2022. ( V.30. ) önkormányzati rendelethez</v>
      </c>
      <c r="B1" s="1346"/>
      <c r="C1" s="1346"/>
      <c r="D1" s="1346"/>
    </row>
    <row r="2" spans="1:4" x14ac:dyDescent="0.2">
      <c r="A2" s="461"/>
      <c r="B2" s="462"/>
      <c r="C2" s="462"/>
      <c r="D2" s="462"/>
    </row>
    <row r="3" spans="1:4" ht="15.75" x14ac:dyDescent="0.2">
      <c r="A3" s="1430" t="s">
        <v>882</v>
      </c>
      <c r="B3" s="1406"/>
      <c r="C3" s="1406"/>
      <c r="D3" s="1406"/>
    </row>
    <row r="4" spans="1:4" s="318" customFormat="1" ht="15.75" thickBot="1" x14ac:dyDescent="0.25">
      <c r="A4" s="1429"/>
      <c r="B4" s="1429"/>
      <c r="C4" s="1414" t="str">
        <f>Z_3.tájékoztató_t.!E3</f>
        <v>Forintban</v>
      </c>
      <c r="D4" s="1414"/>
    </row>
    <row r="5" spans="1:4" s="33" customFormat="1" ht="48" customHeight="1" thickBot="1" x14ac:dyDescent="0.25">
      <c r="A5" s="261" t="s">
        <v>4</v>
      </c>
      <c r="B5" s="268" t="s">
        <v>5</v>
      </c>
      <c r="C5" s="268" t="s">
        <v>504</v>
      </c>
      <c r="D5" s="463" t="s">
        <v>505</v>
      </c>
    </row>
    <row r="6" spans="1:4" s="33" customFormat="1" ht="14.1" customHeight="1" thickBot="1" x14ac:dyDescent="0.25">
      <c r="A6" s="464" t="s">
        <v>354</v>
      </c>
      <c r="B6" s="465" t="s">
        <v>355</v>
      </c>
      <c r="C6" s="465" t="s">
        <v>356</v>
      </c>
      <c r="D6" s="466" t="s">
        <v>358</v>
      </c>
    </row>
    <row r="7" spans="1:4" ht="18" customHeight="1" x14ac:dyDescent="0.2">
      <c r="A7" s="345" t="s">
        <v>6</v>
      </c>
      <c r="B7" s="346" t="s">
        <v>506</v>
      </c>
      <c r="C7" s="347"/>
      <c r="D7" s="348"/>
    </row>
    <row r="8" spans="1:4" ht="18" customHeight="1" x14ac:dyDescent="0.2">
      <c r="A8" s="349" t="s">
        <v>7</v>
      </c>
      <c r="B8" s="350" t="s">
        <v>507</v>
      </c>
      <c r="C8" s="351"/>
      <c r="D8" s="352"/>
    </row>
    <row r="9" spans="1:4" ht="18" customHeight="1" x14ac:dyDescent="0.2">
      <c r="A9" s="349" t="s">
        <v>8</v>
      </c>
      <c r="B9" s="350" t="s">
        <v>508</v>
      </c>
      <c r="C9" s="351"/>
      <c r="D9" s="352"/>
    </row>
    <row r="10" spans="1:4" ht="18" customHeight="1" x14ac:dyDescent="0.2">
      <c r="A10" s="349" t="s">
        <v>9</v>
      </c>
      <c r="B10" s="350" t="s">
        <v>509</v>
      </c>
      <c r="C10" s="351"/>
      <c r="D10" s="352"/>
    </row>
    <row r="11" spans="1:4" ht="18" customHeight="1" x14ac:dyDescent="0.2">
      <c r="A11" s="353" t="s">
        <v>10</v>
      </c>
      <c r="B11" s="350" t="s">
        <v>510</v>
      </c>
      <c r="C11" s="351">
        <f>SUM(C12:C17)</f>
        <v>29288000</v>
      </c>
      <c r="D11" s="351">
        <f>SUM(D12:D17)</f>
        <v>29288000</v>
      </c>
    </row>
    <row r="12" spans="1:4" ht="18" customHeight="1" x14ac:dyDescent="0.2">
      <c r="A12" s="349" t="s">
        <v>11</v>
      </c>
      <c r="B12" s="350" t="s">
        <v>511</v>
      </c>
      <c r="C12" s="351"/>
      <c r="D12" s="352"/>
    </row>
    <row r="13" spans="1:4" ht="18" customHeight="1" x14ac:dyDescent="0.2">
      <c r="A13" s="353" t="s">
        <v>12</v>
      </c>
      <c r="B13" s="354" t="s">
        <v>512</v>
      </c>
      <c r="C13" s="351"/>
      <c r="D13" s="352"/>
    </row>
    <row r="14" spans="1:4" ht="18" customHeight="1" x14ac:dyDescent="0.2">
      <c r="A14" s="353" t="s">
        <v>13</v>
      </c>
      <c r="B14" s="354" t="s">
        <v>513</v>
      </c>
      <c r="C14" s="351">
        <v>29288000</v>
      </c>
      <c r="D14" s="352">
        <v>29288000</v>
      </c>
    </row>
    <row r="15" spans="1:4" ht="18" customHeight="1" x14ac:dyDescent="0.2">
      <c r="A15" s="349" t="s">
        <v>14</v>
      </c>
      <c r="B15" s="354" t="s">
        <v>514</v>
      </c>
      <c r="C15" s="351"/>
      <c r="D15" s="352"/>
    </row>
    <row r="16" spans="1:4" ht="18" customHeight="1" x14ac:dyDescent="0.2">
      <c r="A16" s="353" t="s">
        <v>15</v>
      </c>
      <c r="B16" s="354" t="s">
        <v>515</v>
      </c>
      <c r="C16" s="351"/>
      <c r="D16" s="352"/>
    </row>
    <row r="17" spans="1:4" ht="22.5" x14ac:dyDescent="0.2">
      <c r="A17" s="349" t="s">
        <v>16</v>
      </c>
      <c r="B17" s="354" t="s">
        <v>516</v>
      </c>
      <c r="C17" s="351"/>
      <c r="D17" s="352"/>
    </row>
    <row r="18" spans="1:4" ht="18" customHeight="1" x14ac:dyDescent="0.2">
      <c r="A18" s="353" t="s">
        <v>17</v>
      </c>
      <c r="B18" s="350" t="s">
        <v>517</v>
      </c>
      <c r="C18" s="351"/>
      <c r="D18" s="352"/>
    </row>
    <row r="19" spans="1:4" ht="18" customHeight="1" x14ac:dyDescent="0.2">
      <c r="A19" s="349" t="s">
        <v>18</v>
      </c>
      <c r="B19" s="350" t="s">
        <v>1065</v>
      </c>
      <c r="C19" s="351"/>
      <c r="D19" s="352"/>
    </row>
    <row r="20" spans="1:4" ht="18" customHeight="1" x14ac:dyDescent="0.2">
      <c r="A20" s="353" t="s">
        <v>19</v>
      </c>
      <c r="B20" s="350" t="s">
        <v>1066</v>
      </c>
      <c r="C20" s="351"/>
      <c r="D20" s="352"/>
    </row>
    <row r="21" spans="1:4" ht="18" customHeight="1" x14ac:dyDescent="0.2">
      <c r="A21" s="349" t="s">
        <v>20</v>
      </c>
      <c r="B21" s="350" t="s">
        <v>518</v>
      </c>
      <c r="C21" s="351"/>
      <c r="D21" s="352"/>
    </row>
    <row r="22" spans="1:4" ht="18" customHeight="1" x14ac:dyDescent="0.2">
      <c r="A22" s="353" t="s">
        <v>21</v>
      </c>
      <c r="B22" s="350" t="s">
        <v>519</v>
      </c>
      <c r="C22" s="351"/>
      <c r="D22" s="352"/>
    </row>
    <row r="23" spans="1:4" ht="18" customHeight="1" x14ac:dyDescent="0.2">
      <c r="A23" s="349" t="s">
        <v>22</v>
      </c>
      <c r="B23" s="355"/>
      <c r="C23" s="351"/>
      <c r="D23" s="352"/>
    </row>
    <row r="24" spans="1:4" ht="18" customHeight="1" x14ac:dyDescent="0.2">
      <c r="A24" s="353" t="s">
        <v>23</v>
      </c>
      <c r="B24" s="355"/>
      <c r="C24" s="351"/>
      <c r="D24" s="352"/>
    </row>
    <row r="25" spans="1:4" ht="18" customHeight="1" x14ac:dyDescent="0.2">
      <c r="A25" s="349" t="s">
        <v>24</v>
      </c>
      <c r="B25" s="355"/>
      <c r="C25" s="351"/>
      <c r="D25" s="352"/>
    </row>
    <row r="26" spans="1:4" ht="18" customHeight="1" x14ac:dyDescent="0.2">
      <c r="A26" s="353" t="s">
        <v>25</v>
      </c>
      <c r="B26" s="355"/>
      <c r="C26" s="351"/>
      <c r="D26" s="352"/>
    </row>
    <row r="27" spans="1:4" ht="18" customHeight="1" x14ac:dyDescent="0.2">
      <c r="A27" s="349" t="s">
        <v>26</v>
      </c>
      <c r="B27" s="355"/>
      <c r="C27" s="351"/>
      <c r="D27" s="352"/>
    </row>
    <row r="28" spans="1:4" ht="18" customHeight="1" x14ac:dyDescent="0.2">
      <c r="A28" s="353" t="s">
        <v>27</v>
      </c>
      <c r="B28" s="355"/>
      <c r="C28" s="351"/>
      <c r="D28" s="352"/>
    </row>
    <row r="29" spans="1:4" ht="18" customHeight="1" x14ac:dyDescent="0.2">
      <c r="A29" s="349" t="s">
        <v>28</v>
      </c>
      <c r="B29" s="355"/>
      <c r="C29" s="351"/>
      <c r="D29" s="352"/>
    </row>
    <row r="30" spans="1:4" ht="18" customHeight="1" x14ac:dyDescent="0.2">
      <c r="A30" s="353" t="s">
        <v>29</v>
      </c>
      <c r="B30" s="355"/>
      <c r="C30" s="351"/>
      <c r="D30" s="352"/>
    </row>
    <row r="31" spans="1:4" ht="18" customHeight="1" thickBot="1" x14ac:dyDescent="0.25">
      <c r="A31" s="356" t="s">
        <v>30</v>
      </c>
      <c r="B31" s="357"/>
      <c r="C31" s="358"/>
      <c r="D31" s="359"/>
    </row>
    <row r="32" spans="1:4" ht="18" customHeight="1" thickBot="1" x14ac:dyDescent="0.25">
      <c r="A32" s="360" t="s">
        <v>31</v>
      </c>
      <c r="B32" s="460" t="s">
        <v>37</v>
      </c>
      <c r="C32" s="325">
        <f>SUM(C18:C31)+SUM(C7:C11)</f>
        <v>29288000</v>
      </c>
      <c r="D32" s="325">
        <f>SUM(D18:D31)+SUM(D7:D11)</f>
        <v>29288000</v>
      </c>
    </row>
    <row r="33" spans="1:4" ht="25.5" customHeight="1" x14ac:dyDescent="0.2">
      <c r="A33" s="1454" t="s">
        <v>520</v>
      </c>
      <c r="B33" s="1454"/>
      <c r="C33" s="1454"/>
      <c r="D33" s="1454"/>
    </row>
  </sheetData>
  <mergeCells count="5">
    <mergeCell ref="A1:D1"/>
    <mergeCell ref="A3:D3"/>
    <mergeCell ref="A4:B4"/>
    <mergeCell ref="C4:D4"/>
    <mergeCell ref="A33:D3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95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3"/>
  <dimension ref="A1:E35"/>
  <sheetViews>
    <sheetView zoomScale="110" zoomScaleNormal="110" workbookViewId="0">
      <selection activeCell="E15" sqref="E15"/>
    </sheetView>
  </sheetViews>
  <sheetFormatPr defaultRowHeight="12.75" x14ac:dyDescent="0.2"/>
  <cols>
    <col min="1" max="1" width="6.6640625" style="23" customWidth="1"/>
    <col min="2" max="2" width="40.83203125" style="23" customWidth="1"/>
    <col min="3" max="3" width="23" style="23" customWidth="1"/>
    <col min="4" max="4" width="15" style="23" bestFit="1" customWidth="1"/>
    <col min="5" max="5" width="12.83203125" style="23" customWidth="1"/>
    <col min="6" max="16384" width="9.33203125" style="23"/>
  </cols>
  <sheetData>
    <row r="1" spans="1:5" ht="15" x14ac:dyDescent="0.25">
      <c r="A1" s="1457" t="str">
        <f>CONCATENATE("21. melléklet, 6. tájékoztató tábla ",Z_ALAPADATOK!A7," ",Z_ALAPADATOK!B7," ",Z_ALAPADATOK!C7," ",Z_ALAPADATOK!D7," ",Z_ALAPADATOK!E7," ",Z_ALAPADATOK!F7," ",Z_ALAPADATOK!G7," ",Z_ALAPADATOK!H7)</f>
        <v>21. melléklet, 6. tájékoztató tábla a 12 / 2022. ( V.30. ) önkormányzati rendelethez</v>
      </c>
      <c r="B1" s="1457"/>
      <c r="C1" s="1457"/>
      <c r="D1" s="1457"/>
      <c r="E1" s="1457"/>
    </row>
    <row r="2" spans="1:5" x14ac:dyDescent="0.2">
      <c r="A2" s="52"/>
      <c r="B2" s="52"/>
      <c r="C2" s="52"/>
      <c r="D2" s="52"/>
      <c r="E2" s="52"/>
    </row>
    <row r="3" spans="1:5" ht="15.75" x14ac:dyDescent="0.25">
      <c r="A3" s="1458" t="s">
        <v>686</v>
      </c>
      <c r="B3" s="1458"/>
      <c r="C3" s="1458"/>
      <c r="D3" s="1458"/>
      <c r="E3" s="1458"/>
    </row>
    <row r="4" spans="1:5" ht="15.75" x14ac:dyDescent="0.25">
      <c r="A4" s="1458" t="str">
        <f>CONCATENATE("A ",Z_ALAPADATOK!B1,". évi céljelleggel juttatott támogatások felhasználásáról")</f>
        <v>A 2021. évi céljelleggel juttatott támogatások felhasználásáról</v>
      </c>
      <c r="B4" s="1458"/>
      <c r="C4" s="1458"/>
      <c r="D4" s="1458"/>
      <c r="E4" s="1458"/>
    </row>
    <row r="5" spans="1:5" x14ac:dyDescent="0.2">
      <c r="A5" s="52"/>
      <c r="B5" s="52"/>
      <c r="C5" s="52"/>
      <c r="D5" s="52"/>
      <c r="E5" s="52"/>
    </row>
    <row r="6" spans="1:5" ht="14.25" thickBot="1" x14ac:dyDescent="0.3">
      <c r="A6" s="1452" t="str">
        <f>Z_5.tájékoztató_t.!C4</f>
        <v>Forintban</v>
      </c>
      <c r="B6" s="1452"/>
      <c r="C6" s="1452"/>
      <c r="D6" s="1452"/>
      <c r="E6" s="1452"/>
    </row>
    <row r="7" spans="1:5" ht="42.75" customHeight="1" thickBot="1" x14ac:dyDescent="0.25">
      <c r="A7" s="556" t="s">
        <v>51</v>
      </c>
      <c r="B7" s="555" t="s">
        <v>521</v>
      </c>
      <c r="C7" s="555" t="s">
        <v>522</v>
      </c>
      <c r="D7" s="558" t="s">
        <v>523</v>
      </c>
      <c r="E7" s="557" t="s">
        <v>524</v>
      </c>
    </row>
    <row r="8" spans="1:5" ht="15.95" customHeight="1" x14ac:dyDescent="0.2">
      <c r="A8" s="559" t="s">
        <v>6</v>
      </c>
      <c r="B8" s="1160" t="s">
        <v>827</v>
      </c>
      <c r="C8" s="1161" t="s">
        <v>840</v>
      </c>
      <c r="D8" s="1162">
        <v>6000000</v>
      </c>
      <c r="E8" s="1149">
        <v>6000000</v>
      </c>
    </row>
    <row r="9" spans="1:5" ht="15.95" customHeight="1" x14ac:dyDescent="0.2">
      <c r="A9" s="362" t="s">
        <v>7</v>
      </c>
      <c r="B9" s="1157" t="s">
        <v>828</v>
      </c>
      <c r="C9" s="1153" t="s">
        <v>840</v>
      </c>
      <c r="D9" s="1159">
        <v>2500000</v>
      </c>
      <c r="E9" s="1151">
        <v>2500000</v>
      </c>
    </row>
    <row r="10" spans="1:5" ht="15.95" customHeight="1" x14ac:dyDescent="0.2">
      <c r="A10" s="362" t="s">
        <v>8</v>
      </c>
      <c r="B10" s="1157" t="s">
        <v>829</v>
      </c>
      <c r="C10" s="1153" t="s">
        <v>840</v>
      </c>
      <c r="D10" s="1159">
        <v>1000000</v>
      </c>
      <c r="E10" s="1151">
        <v>1000000</v>
      </c>
    </row>
    <row r="11" spans="1:5" ht="15.95" customHeight="1" x14ac:dyDescent="0.2">
      <c r="A11" s="362" t="s">
        <v>9</v>
      </c>
      <c r="B11" s="1157" t="s">
        <v>830</v>
      </c>
      <c r="C11" s="1156" t="s">
        <v>840</v>
      </c>
      <c r="D11" s="1159">
        <v>15250000</v>
      </c>
      <c r="E11" s="1151">
        <f>4500000+5750000+5000000</f>
        <v>15250000</v>
      </c>
    </row>
    <row r="12" spans="1:5" ht="15.95" customHeight="1" x14ac:dyDescent="0.2">
      <c r="A12" s="362" t="s">
        <v>10</v>
      </c>
      <c r="B12" s="1157" t="s">
        <v>831</v>
      </c>
      <c r="C12" s="1155" t="s">
        <v>840</v>
      </c>
      <c r="D12" s="1159">
        <v>300000</v>
      </c>
      <c r="E12" s="1151">
        <v>300000</v>
      </c>
    </row>
    <row r="13" spans="1:5" ht="15.95" customHeight="1" x14ac:dyDescent="0.2">
      <c r="A13" s="362" t="s">
        <v>11</v>
      </c>
      <c r="B13" s="1157" t="s">
        <v>832</v>
      </c>
      <c r="C13" s="1156" t="s">
        <v>840</v>
      </c>
      <c r="D13" s="1159">
        <v>1000000</v>
      </c>
      <c r="E13" s="1151">
        <f>150000+193040+50000+100000+50000+50000</f>
        <v>593040</v>
      </c>
    </row>
    <row r="14" spans="1:5" ht="15.95" customHeight="1" x14ac:dyDescent="0.2">
      <c r="A14" s="362" t="s">
        <v>12</v>
      </c>
      <c r="B14" s="1157" t="s">
        <v>833</v>
      </c>
      <c r="C14" s="1154" t="s">
        <v>840</v>
      </c>
      <c r="D14" s="1159">
        <v>1000000</v>
      </c>
      <c r="E14" s="1151">
        <v>500000</v>
      </c>
    </row>
    <row r="15" spans="1:5" ht="15.95" customHeight="1" x14ac:dyDescent="0.2">
      <c r="A15" s="362" t="s">
        <v>13</v>
      </c>
      <c r="B15" s="1157" t="s">
        <v>1054</v>
      </c>
      <c r="C15" s="1154" t="s">
        <v>840</v>
      </c>
      <c r="D15" s="1159">
        <v>636000</v>
      </c>
      <c r="E15" s="1151">
        <v>566000</v>
      </c>
    </row>
    <row r="16" spans="1:5" ht="15.95" customHeight="1" x14ac:dyDescent="0.2">
      <c r="A16" s="362" t="s">
        <v>14</v>
      </c>
      <c r="B16" s="1157" t="s">
        <v>1055</v>
      </c>
      <c r="C16" s="1156" t="s">
        <v>840</v>
      </c>
      <c r="D16" s="1159">
        <v>7746291</v>
      </c>
      <c r="E16" s="1151">
        <v>0</v>
      </c>
    </row>
    <row r="17" spans="1:5" ht="15.95" customHeight="1" x14ac:dyDescent="0.2">
      <c r="A17" s="362" t="s">
        <v>15</v>
      </c>
      <c r="B17" s="1157" t="s">
        <v>1056</v>
      </c>
      <c r="C17" s="1156" t="s">
        <v>840</v>
      </c>
      <c r="D17" s="1159">
        <v>3417664</v>
      </c>
      <c r="E17" s="1151">
        <v>0</v>
      </c>
    </row>
    <row r="18" spans="1:5" ht="15.95" customHeight="1" x14ac:dyDescent="0.2">
      <c r="A18" s="362" t="s">
        <v>16</v>
      </c>
      <c r="B18" s="1157" t="s">
        <v>834</v>
      </c>
      <c r="C18" s="1156" t="s">
        <v>840</v>
      </c>
      <c r="D18" s="1159">
        <v>5327836</v>
      </c>
      <c r="E18" s="1151">
        <v>5327836</v>
      </c>
    </row>
    <row r="19" spans="1:5" ht="15.95" customHeight="1" x14ac:dyDescent="0.2">
      <c r="A19" s="362" t="s">
        <v>17</v>
      </c>
      <c r="B19" s="1157" t="s">
        <v>835</v>
      </c>
      <c r="C19" s="1156" t="s">
        <v>840</v>
      </c>
      <c r="D19" s="1159">
        <v>2953846</v>
      </c>
      <c r="E19" s="1151">
        <v>2953846</v>
      </c>
    </row>
    <row r="20" spans="1:5" ht="15.95" customHeight="1" x14ac:dyDescent="0.2">
      <c r="A20" s="362" t="s">
        <v>18</v>
      </c>
      <c r="B20" s="1157" t="s">
        <v>1055</v>
      </c>
      <c r="C20" s="1156" t="s">
        <v>841</v>
      </c>
      <c r="D20" s="1159">
        <v>1883228</v>
      </c>
      <c r="E20" s="1151">
        <v>0</v>
      </c>
    </row>
    <row r="21" spans="1:5" ht="15.95" customHeight="1" x14ac:dyDescent="0.2">
      <c r="A21" s="362" t="s">
        <v>19</v>
      </c>
      <c r="B21" s="1157" t="s">
        <v>1056</v>
      </c>
      <c r="C21" s="1156" t="s">
        <v>841</v>
      </c>
      <c r="D21" s="1159">
        <v>1216767</v>
      </c>
      <c r="E21" s="1151">
        <v>0</v>
      </c>
    </row>
    <row r="22" spans="1:5" ht="15.95" customHeight="1" x14ac:dyDescent="0.2">
      <c r="A22" s="362" t="s">
        <v>20</v>
      </c>
      <c r="B22" s="1157" t="s">
        <v>834</v>
      </c>
      <c r="C22" s="1156" t="s">
        <v>841</v>
      </c>
      <c r="D22" s="1159">
        <v>999592</v>
      </c>
      <c r="E22" s="1151">
        <v>999592</v>
      </c>
    </row>
    <row r="23" spans="1:5" ht="15.95" customHeight="1" x14ac:dyDescent="0.2">
      <c r="A23" s="362" t="s">
        <v>21</v>
      </c>
      <c r="B23" s="1157" t="s">
        <v>835</v>
      </c>
      <c r="C23" s="1156" t="s">
        <v>841</v>
      </c>
      <c r="D23" s="1159">
        <v>1812219</v>
      </c>
      <c r="E23" s="1151">
        <v>1812219</v>
      </c>
    </row>
    <row r="24" spans="1:5" ht="15.95" customHeight="1" x14ac:dyDescent="0.2">
      <c r="A24" s="362" t="s">
        <v>22</v>
      </c>
      <c r="B24" s="1157" t="s">
        <v>836</v>
      </c>
      <c r="C24" s="1156" t="s">
        <v>840</v>
      </c>
      <c r="D24" s="1159">
        <v>200000</v>
      </c>
      <c r="E24" s="1151">
        <v>200000</v>
      </c>
    </row>
    <row r="25" spans="1:5" ht="15.95" customHeight="1" x14ac:dyDescent="0.2">
      <c r="A25" s="362" t="s">
        <v>23</v>
      </c>
      <c r="B25" s="1157" t="s">
        <v>837</v>
      </c>
      <c r="C25" s="1156" t="s">
        <v>840</v>
      </c>
      <c r="D25" s="1159">
        <f>117636590+2436985</f>
        <v>120073575</v>
      </c>
      <c r="E25" s="1151">
        <v>119573575</v>
      </c>
    </row>
    <row r="26" spans="1:5" ht="15.95" customHeight="1" x14ac:dyDescent="0.2">
      <c r="A26" s="362" t="s">
        <v>24</v>
      </c>
      <c r="B26" s="1157" t="s">
        <v>838</v>
      </c>
      <c r="C26" s="1156" t="s">
        <v>840</v>
      </c>
      <c r="D26" s="1159">
        <v>500000</v>
      </c>
      <c r="E26" s="1151">
        <v>500000</v>
      </c>
    </row>
    <row r="27" spans="1:5" ht="15.95" customHeight="1" x14ac:dyDescent="0.2">
      <c r="A27" s="362" t="s">
        <v>25</v>
      </c>
      <c r="B27" s="1157" t="s">
        <v>839</v>
      </c>
      <c r="C27" s="1156" t="s">
        <v>840</v>
      </c>
      <c r="D27" s="1159">
        <v>46642000</v>
      </c>
      <c r="E27" s="1151">
        <v>14880000</v>
      </c>
    </row>
    <row r="28" spans="1:5" ht="15.95" customHeight="1" x14ac:dyDescent="0.2">
      <c r="A28" s="362" t="s">
        <v>26</v>
      </c>
      <c r="B28" s="1158" t="s">
        <v>1057</v>
      </c>
      <c r="C28" s="1153" t="s">
        <v>840</v>
      </c>
      <c r="D28" s="1159">
        <v>754230</v>
      </c>
      <c r="E28" s="1151">
        <f>75207+54696+624327</f>
        <v>754230</v>
      </c>
    </row>
    <row r="29" spans="1:5" ht="15.95" customHeight="1" x14ac:dyDescent="0.2">
      <c r="A29" s="362" t="s">
        <v>27</v>
      </c>
      <c r="B29" s="1157" t="s">
        <v>1058</v>
      </c>
      <c r="C29" s="1156" t="s">
        <v>840</v>
      </c>
      <c r="D29" s="1159">
        <v>690537</v>
      </c>
      <c r="E29" s="1151">
        <f>75207+75207+68370+68370+335013</f>
        <v>622167</v>
      </c>
    </row>
    <row r="30" spans="1:5" ht="15.95" customHeight="1" thickBot="1" x14ac:dyDescent="0.25">
      <c r="A30" s="362" t="s">
        <v>28</v>
      </c>
      <c r="B30" s="1157" t="s">
        <v>1059</v>
      </c>
      <c r="C30" s="1156" t="s">
        <v>840</v>
      </c>
      <c r="D30" s="1159">
        <v>752070</v>
      </c>
      <c r="E30" s="646">
        <v>0</v>
      </c>
    </row>
    <row r="31" spans="1:5" ht="15.95" customHeight="1" thickBot="1" x14ac:dyDescent="0.25">
      <c r="A31" s="1455" t="s">
        <v>37</v>
      </c>
      <c r="B31" s="1456"/>
      <c r="C31" s="363"/>
      <c r="D31" s="364">
        <f>SUM(D8:D30)</f>
        <v>222655855</v>
      </c>
      <c r="E31" s="365">
        <f>SUM(E8:E30)</f>
        <v>174332505</v>
      </c>
    </row>
    <row r="33" spans="3:4" x14ac:dyDescent="0.2">
      <c r="C33" s="1150"/>
      <c r="D33" s="1152"/>
    </row>
    <row r="34" spans="3:4" x14ac:dyDescent="0.2">
      <c r="C34" s="1150"/>
      <c r="D34" s="1152"/>
    </row>
    <row r="35" spans="3:4" x14ac:dyDescent="0.2">
      <c r="C35" s="1150"/>
      <c r="D35" s="1152"/>
    </row>
  </sheetData>
  <mergeCells count="5">
    <mergeCell ref="A31:B31"/>
    <mergeCell ref="A1:E1"/>
    <mergeCell ref="A4:E4"/>
    <mergeCell ref="A3:E3"/>
    <mergeCell ref="A6:E6"/>
  </mergeCells>
  <printOptions horizontalCentered="1"/>
  <pageMargins left="0.78740157480314965" right="0.78740157480314965" top="1.5748031496062993" bottom="0.98425196850393704" header="0.78740157480314965" footer="0.78740157480314965"/>
  <pageSetup paperSize="9" scale="95" fitToWidth="2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4"/>
  <dimension ref="A1:D77"/>
  <sheetViews>
    <sheetView zoomScale="120" zoomScaleNormal="120" zoomScaleSheetLayoutView="120" workbookViewId="0">
      <selection activeCell="A15" sqref="A15"/>
    </sheetView>
  </sheetViews>
  <sheetFormatPr defaultColWidth="12" defaultRowHeight="15.75" x14ac:dyDescent="0.25"/>
  <cols>
    <col min="1" max="1" width="67.1640625" style="366" customWidth="1"/>
    <col min="2" max="2" width="6.1640625" style="367" customWidth="1"/>
    <col min="3" max="4" width="12.1640625" style="366" customWidth="1"/>
    <col min="5" max="16384" width="12" style="366"/>
  </cols>
  <sheetData>
    <row r="1" spans="1:4" x14ac:dyDescent="0.25">
      <c r="A1" s="1459" t="str">
        <f>CONCATENATE("22. melléklet, 7.1. tájékoztató tábla ",Z_ALAPADATOK!A7," ",Z_ALAPADATOK!B7," ",Z_ALAPADATOK!C7," ",Z_ALAPADATOK!D7," ",Z_ALAPADATOK!E7," ",Z_ALAPADATOK!F7," ",Z_ALAPADATOK!G7," ",Z_ALAPADATOK!H7)</f>
        <v>22. melléklet, 7.1. tájékoztató tábla a 12 / 2022. ( V.30. ) önkormányzati rendelethez</v>
      </c>
      <c r="B1" s="1459"/>
      <c r="C1" s="1459"/>
      <c r="D1" s="1459"/>
    </row>
    <row r="2" spans="1:4" x14ac:dyDescent="0.25">
      <c r="A2" s="1461" t="s">
        <v>689</v>
      </c>
      <c r="B2" s="1462"/>
      <c r="C2" s="1462"/>
      <c r="D2" s="1462"/>
    </row>
    <row r="3" spans="1:4" ht="16.5" customHeight="1" x14ac:dyDescent="0.25">
      <c r="A3" s="1461" t="s">
        <v>883</v>
      </c>
      <c r="B3" s="1462"/>
      <c r="C3" s="1462"/>
      <c r="D3" s="1462"/>
    </row>
    <row r="4" spans="1:4" ht="16.5" customHeight="1" x14ac:dyDescent="0.25">
      <c r="A4" s="1463" t="str">
        <f>CONCATENATE(Z_ALAPADATOK!B1,". év")</f>
        <v>2021. év</v>
      </c>
      <c r="B4" s="1464"/>
      <c r="C4" s="1464"/>
      <c r="D4" s="1464"/>
    </row>
    <row r="5" spans="1:4" ht="16.5" customHeight="1" thickBot="1" x14ac:dyDescent="0.3">
      <c r="A5" s="1474" t="str">
        <f>Z_6.tájékoztató_t.!A6</f>
        <v>Forintban</v>
      </c>
      <c r="B5" s="1474"/>
      <c r="C5" s="1474"/>
      <c r="D5" s="1474"/>
    </row>
    <row r="6" spans="1:4" ht="15.75" customHeight="1" x14ac:dyDescent="0.25">
      <c r="A6" s="1465" t="s">
        <v>530</v>
      </c>
      <c r="B6" s="1468" t="s">
        <v>531</v>
      </c>
      <c r="C6" s="1471" t="s">
        <v>532</v>
      </c>
      <c r="D6" s="1471" t="s">
        <v>533</v>
      </c>
    </row>
    <row r="7" spans="1:4" ht="11.25" customHeight="1" x14ac:dyDescent="0.25">
      <c r="A7" s="1466"/>
      <c r="B7" s="1469"/>
      <c r="C7" s="1472"/>
      <c r="D7" s="1472"/>
    </row>
    <row r="8" spans="1:4" x14ac:dyDescent="0.25">
      <c r="A8" s="1467"/>
      <c r="B8" s="1470"/>
      <c r="C8" s="1473" t="s">
        <v>534</v>
      </c>
      <c r="D8" s="1473"/>
    </row>
    <row r="9" spans="1:4" s="368" customFormat="1" ht="16.5" thickBot="1" x14ac:dyDescent="0.25">
      <c r="A9" s="467" t="s">
        <v>535</v>
      </c>
      <c r="B9" s="468" t="s">
        <v>355</v>
      </c>
      <c r="C9" s="468" t="s">
        <v>356</v>
      </c>
      <c r="D9" s="468" t="s">
        <v>358</v>
      </c>
    </row>
    <row r="10" spans="1:4" s="371" customFormat="1" x14ac:dyDescent="0.2">
      <c r="A10" s="369" t="s">
        <v>536</v>
      </c>
      <c r="B10" s="370" t="s">
        <v>537</v>
      </c>
      <c r="C10" s="675">
        <v>234571856</v>
      </c>
      <c r="D10" s="675">
        <v>96811060</v>
      </c>
    </row>
    <row r="11" spans="1:4" s="371" customFormat="1" x14ac:dyDescent="0.2">
      <c r="A11" s="372" t="s">
        <v>538</v>
      </c>
      <c r="B11" s="373" t="s">
        <v>539</v>
      </c>
      <c r="C11" s="674">
        <v>8884034919</v>
      </c>
      <c r="D11" s="674">
        <f>D12+D17+D22+D27+D32</f>
        <v>6166099912</v>
      </c>
    </row>
    <row r="12" spans="1:4" s="371" customFormat="1" x14ac:dyDescent="0.2">
      <c r="A12" s="372" t="s">
        <v>540</v>
      </c>
      <c r="B12" s="373" t="s">
        <v>541</v>
      </c>
      <c r="C12" s="674">
        <v>8363276845</v>
      </c>
      <c r="D12" s="674">
        <f>SUM(D13:D16)</f>
        <v>5677247332</v>
      </c>
    </row>
    <row r="13" spans="1:4" s="371" customFormat="1" x14ac:dyDescent="0.2">
      <c r="A13" s="374" t="s">
        <v>542</v>
      </c>
      <c r="B13" s="373" t="s">
        <v>543</v>
      </c>
      <c r="C13" s="676">
        <v>1741886772</v>
      </c>
      <c r="D13" s="676">
        <v>1095428869</v>
      </c>
    </row>
    <row r="14" spans="1:4" s="371" customFormat="1" ht="26.45" customHeight="1" x14ac:dyDescent="0.2">
      <c r="A14" s="374" t="s">
        <v>544</v>
      </c>
      <c r="B14" s="373" t="s">
        <v>545</v>
      </c>
      <c r="C14" s="792">
        <v>21870556</v>
      </c>
      <c r="D14" s="792">
        <v>12410365</v>
      </c>
    </row>
    <row r="15" spans="1:4" s="371" customFormat="1" ht="22.5" customHeight="1" x14ac:dyDescent="0.2">
      <c r="A15" s="374" t="s">
        <v>546</v>
      </c>
      <c r="B15" s="373" t="s">
        <v>547</v>
      </c>
      <c r="C15" s="792">
        <v>4226096912</v>
      </c>
      <c r="D15" s="792">
        <v>2670280997</v>
      </c>
    </row>
    <row r="16" spans="1:4" s="371" customFormat="1" x14ac:dyDescent="0.2">
      <c r="A16" s="374" t="s">
        <v>548</v>
      </c>
      <c r="B16" s="373" t="s">
        <v>549</v>
      </c>
      <c r="C16" s="792">
        <v>2373422605</v>
      </c>
      <c r="D16" s="792">
        <v>1899127101</v>
      </c>
    </row>
    <row r="17" spans="1:4" s="371" customFormat="1" x14ac:dyDescent="0.2">
      <c r="A17" s="372" t="s">
        <v>550</v>
      </c>
      <c r="B17" s="373" t="s">
        <v>551</v>
      </c>
      <c r="C17" s="793">
        <v>384487897</v>
      </c>
      <c r="D17" s="793">
        <f>SUM(D18:D21)</f>
        <v>63180218</v>
      </c>
    </row>
    <row r="18" spans="1:4" s="371" customFormat="1" x14ac:dyDescent="0.2">
      <c r="A18" s="374" t="s">
        <v>552</v>
      </c>
      <c r="B18" s="373" t="s">
        <v>553</v>
      </c>
      <c r="C18" s="792"/>
      <c r="D18" s="792"/>
    </row>
    <row r="19" spans="1:4" s="371" customFormat="1" ht="22.5" x14ac:dyDescent="0.2">
      <c r="A19" s="374" t="s">
        <v>554</v>
      </c>
      <c r="B19" s="373" t="s">
        <v>15</v>
      </c>
      <c r="C19" s="792"/>
      <c r="D19" s="792"/>
    </row>
    <row r="20" spans="1:4" s="371" customFormat="1" x14ac:dyDescent="0.2">
      <c r="A20" s="374" t="s">
        <v>555</v>
      </c>
      <c r="B20" s="373" t="s">
        <v>16</v>
      </c>
      <c r="C20" s="792"/>
      <c r="D20" s="792"/>
    </row>
    <row r="21" spans="1:4" s="371" customFormat="1" x14ac:dyDescent="0.2">
      <c r="A21" s="374" t="s">
        <v>556</v>
      </c>
      <c r="B21" s="373" t="s">
        <v>17</v>
      </c>
      <c r="C21" s="792">
        <v>384487897</v>
      </c>
      <c r="D21" s="792">
        <v>63180218</v>
      </c>
    </row>
    <row r="22" spans="1:4" s="371" customFormat="1" x14ac:dyDescent="0.2">
      <c r="A22" s="372" t="s">
        <v>557</v>
      </c>
      <c r="B22" s="373" t="s">
        <v>18</v>
      </c>
      <c r="C22" s="793" t="s">
        <v>1060</v>
      </c>
      <c r="D22" s="793">
        <f>SUM(D23:D26)</f>
        <v>0</v>
      </c>
    </row>
    <row r="23" spans="1:4" s="371" customFormat="1" x14ac:dyDescent="0.2">
      <c r="A23" s="374" t="s">
        <v>558</v>
      </c>
      <c r="B23" s="373" t="s">
        <v>19</v>
      </c>
      <c r="C23" s="792"/>
      <c r="D23" s="792"/>
    </row>
    <row r="24" spans="1:4" s="371" customFormat="1" x14ac:dyDescent="0.2">
      <c r="A24" s="374" t="s">
        <v>559</v>
      </c>
      <c r="B24" s="373" t="s">
        <v>20</v>
      </c>
      <c r="C24" s="792"/>
      <c r="D24" s="792"/>
    </row>
    <row r="25" spans="1:4" s="371" customFormat="1" x14ac:dyDescent="0.2">
      <c r="A25" s="374" t="s">
        <v>560</v>
      </c>
      <c r="B25" s="373" t="s">
        <v>21</v>
      </c>
      <c r="C25" s="792"/>
      <c r="D25" s="792"/>
    </row>
    <row r="26" spans="1:4" s="371" customFormat="1" x14ac:dyDescent="0.2">
      <c r="A26" s="374" t="s">
        <v>561</v>
      </c>
      <c r="B26" s="373" t="s">
        <v>22</v>
      </c>
      <c r="C26" s="792"/>
      <c r="D26" s="792"/>
    </row>
    <row r="27" spans="1:4" s="371" customFormat="1" x14ac:dyDescent="0.2">
      <c r="A27" s="372" t="s">
        <v>562</v>
      </c>
      <c r="B27" s="373" t="s">
        <v>23</v>
      </c>
      <c r="C27" s="793">
        <v>136270177</v>
      </c>
      <c r="D27" s="793">
        <f>SUM(D28:D31)</f>
        <v>425672362</v>
      </c>
    </row>
    <row r="28" spans="1:4" s="371" customFormat="1" x14ac:dyDescent="0.2">
      <c r="A28" s="374" t="s">
        <v>563</v>
      </c>
      <c r="B28" s="373" t="s">
        <v>24</v>
      </c>
      <c r="C28" s="792"/>
      <c r="D28" s="792"/>
    </row>
    <row r="29" spans="1:4" s="371" customFormat="1" x14ac:dyDescent="0.2">
      <c r="A29" s="374" t="s">
        <v>564</v>
      </c>
      <c r="B29" s="373" t="s">
        <v>25</v>
      </c>
      <c r="C29" s="792"/>
      <c r="D29" s="792"/>
    </row>
    <row r="30" spans="1:4" s="371" customFormat="1" x14ac:dyDescent="0.2">
      <c r="A30" s="374" t="s">
        <v>565</v>
      </c>
      <c r="B30" s="373" t="s">
        <v>26</v>
      </c>
      <c r="C30" s="792"/>
      <c r="D30" s="792"/>
    </row>
    <row r="31" spans="1:4" s="371" customFormat="1" x14ac:dyDescent="0.2">
      <c r="A31" s="374" t="s">
        <v>566</v>
      </c>
      <c r="B31" s="373" t="s">
        <v>27</v>
      </c>
      <c r="C31" s="793">
        <v>136270177</v>
      </c>
      <c r="D31" s="793">
        <v>425672362</v>
      </c>
    </row>
    <row r="32" spans="1:4" s="371" customFormat="1" x14ac:dyDescent="0.2">
      <c r="A32" s="372" t="s">
        <v>567</v>
      </c>
      <c r="B32" s="373" t="s">
        <v>28</v>
      </c>
      <c r="C32" s="793" t="s">
        <v>1060</v>
      </c>
      <c r="D32" s="793">
        <f>SUM(D33:D36)</f>
        <v>0</v>
      </c>
    </row>
    <row r="33" spans="1:4" s="371" customFormat="1" x14ac:dyDescent="0.2">
      <c r="A33" s="374" t="s">
        <v>568</v>
      </c>
      <c r="B33" s="373" t="s">
        <v>29</v>
      </c>
      <c r="C33" s="792"/>
      <c r="D33" s="792"/>
    </row>
    <row r="34" spans="1:4" s="371" customFormat="1" ht="22.5" x14ac:dyDescent="0.2">
      <c r="A34" s="374" t="s">
        <v>569</v>
      </c>
      <c r="B34" s="373" t="s">
        <v>30</v>
      </c>
      <c r="C34" s="792"/>
      <c r="D34" s="792"/>
    </row>
    <row r="35" spans="1:4" s="371" customFormat="1" x14ac:dyDescent="0.2">
      <c r="A35" s="374" t="s">
        <v>570</v>
      </c>
      <c r="B35" s="373" t="s">
        <v>31</v>
      </c>
      <c r="C35" s="792"/>
      <c r="D35" s="792"/>
    </row>
    <row r="36" spans="1:4" s="371" customFormat="1" x14ac:dyDescent="0.2">
      <c r="A36" s="374" t="s">
        <v>571</v>
      </c>
      <c r="B36" s="373" t="s">
        <v>32</v>
      </c>
      <c r="C36" s="792"/>
      <c r="D36" s="792"/>
    </row>
    <row r="37" spans="1:4" s="371" customFormat="1" x14ac:dyDescent="0.2">
      <c r="A37" s="372" t="s">
        <v>572</v>
      </c>
      <c r="B37" s="373" t="s">
        <v>33</v>
      </c>
      <c r="C37" s="793">
        <v>27529000</v>
      </c>
      <c r="D37" s="793">
        <f>D38+D43+D48</f>
        <v>27529000</v>
      </c>
    </row>
    <row r="38" spans="1:4" s="371" customFormat="1" x14ac:dyDescent="0.2">
      <c r="A38" s="372" t="s">
        <v>573</v>
      </c>
      <c r="B38" s="373" t="s">
        <v>525</v>
      </c>
      <c r="C38" s="793">
        <v>27529000</v>
      </c>
      <c r="D38" s="793">
        <v>27529000</v>
      </c>
    </row>
    <row r="39" spans="1:4" s="371" customFormat="1" x14ac:dyDescent="0.2">
      <c r="A39" s="374" t="s">
        <v>574</v>
      </c>
      <c r="B39" s="373" t="s">
        <v>526</v>
      </c>
      <c r="C39" s="792"/>
      <c r="D39" s="792"/>
    </row>
    <row r="40" spans="1:4" s="371" customFormat="1" x14ac:dyDescent="0.2">
      <c r="A40" s="374" t="s">
        <v>575</v>
      </c>
      <c r="B40" s="373" t="s">
        <v>527</v>
      </c>
      <c r="C40" s="792"/>
      <c r="D40" s="792"/>
    </row>
    <row r="41" spans="1:4" s="371" customFormat="1" x14ac:dyDescent="0.2">
      <c r="A41" s="374" t="s">
        <v>576</v>
      </c>
      <c r="B41" s="373" t="s">
        <v>528</v>
      </c>
      <c r="C41" s="792">
        <v>27500000</v>
      </c>
      <c r="D41" s="792">
        <v>27500000</v>
      </c>
    </row>
    <row r="42" spans="1:4" s="371" customFormat="1" x14ac:dyDescent="0.2">
      <c r="A42" s="374" t="s">
        <v>577</v>
      </c>
      <c r="B42" s="373" t="s">
        <v>529</v>
      </c>
      <c r="C42" s="792">
        <v>29000</v>
      </c>
      <c r="D42" s="792">
        <v>29000</v>
      </c>
    </row>
    <row r="43" spans="1:4" s="371" customFormat="1" x14ac:dyDescent="0.2">
      <c r="A43" s="372" t="s">
        <v>578</v>
      </c>
      <c r="B43" s="373" t="s">
        <v>579</v>
      </c>
      <c r="C43" s="793" t="s">
        <v>1060</v>
      </c>
      <c r="D43" s="793">
        <v>0</v>
      </c>
    </row>
    <row r="44" spans="1:4" s="371" customFormat="1" x14ac:dyDescent="0.2">
      <c r="A44" s="374" t="s">
        <v>580</v>
      </c>
      <c r="B44" s="373" t="s">
        <v>581</v>
      </c>
      <c r="C44" s="792"/>
      <c r="D44" s="792"/>
    </row>
    <row r="45" spans="1:4" s="371" customFormat="1" ht="22.5" x14ac:dyDescent="0.2">
      <c r="A45" s="374" t="s">
        <v>582</v>
      </c>
      <c r="B45" s="373" t="s">
        <v>583</v>
      </c>
      <c r="C45" s="792"/>
      <c r="D45" s="792"/>
    </row>
    <row r="46" spans="1:4" s="371" customFormat="1" x14ac:dyDescent="0.2">
      <c r="A46" s="374" t="s">
        <v>584</v>
      </c>
      <c r="B46" s="373" t="s">
        <v>585</v>
      </c>
      <c r="C46" s="792"/>
      <c r="D46" s="792"/>
    </row>
    <row r="47" spans="1:4" s="371" customFormat="1" x14ac:dyDescent="0.2">
      <c r="A47" s="374" t="s">
        <v>586</v>
      </c>
      <c r="B47" s="373" t="s">
        <v>587</v>
      </c>
      <c r="C47" s="792"/>
      <c r="D47" s="792"/>
    </row>
    <row r="48" spans="1:4" s="371" customFormat="1" x14ac:dyDescent="0.2">
      <c r="A48" s="372" t="s">
        <v>588</v>
      </c>
      <c r="B48" s="373" t="s">
        <v>589</v>
      </c>
      <c r="C48" s="793" t="s">
        <v>1060</v>
      </c>
      <c r="D48" s="793">
        <v>0</v>
      </c>
    </row>
    <row r="49" spans="1:4" s="371" customFormat="1" x14ac:dyDescent="0.2">
      <c r="A49" s="374" t="s">
        <v>590</v>
      </c>
      <c r="B49" s="373" t="s">
        <v>591</v>
      </c>
      <c r="C49" s="792"/>
      <c r="D49" s="792"/>
    </row>
    <row r="50" spans="1:4" s="371" customFormat="1" ht="22.5" x14ac:dyDescent="0.2">
      <c r="A50" s="374" t="s">
        <v>592</v>
      </c>
      <c r="B50" s="373" t="s">
        <v>593</v>
      </c>
      <c r="C50" s="792"/>
      <c r="D50" s="792"/>
    </row>
    <row r="51" spans="1:4" s="371" customFormat="1" x14ac:dyDescent="0.2">
      <c r="A51" s="374" t="s">
        <v>594</v>
      </c>
      <c r="B51" s="373" t="s">
        <v>595</v>
      </c>
      <c r="C51" s="792"/>
      <c r="D51" s="792"/>
    </row>
    <row r="52" spans="1:4" s="371" customFormat="1" x14ac:dyDescent="0.2">
      <c r="A52" s="374" t="s">
        <v>596</v>
      </c>
      <c r="B52" s="373" t="s">
        <v>597</v>
      </c>
      <c r="C52" s="792"/>
      <c r="D52" s="792"/>
    </row>
    <row r="53" spans="1:4" s="371" customFormat="1" x14ac:dyDescent="0.2">
      <c r="A53" s="372" t="s">
        <v>598</v>
      </c>
      <c r="B53" s="373" t="s">
        <v>599</v>
      </c>
      <c r="C53" s="792">
        <v>33692690</v>
      </c>
      <c r="D53" s="792">
        <v>27144431</v>
      </c>
    </row>
    <row r="54" spans="1:4" s="371" customFormat="1" ht="21" x14ac:dyDescent="0.2">
      <c r="A54" s="372" t="s">
        <v>600</v>
      </c>
      <c r="B54" s="373" t="s">
        <v>601</v>
      </c>
      <c r="C54" s="793">
        <v>9179828465</v>
      </c>
      <c r="D54" s="793">
        <f>D10+D11+D37+D53</f>
        <v>6317584403</v>
      </c>
    </row>
    <row r="55" spans="1:4" s="371" customFormat="1" x14ac:dyDescent="0.2">
      <c r="A55" s="372" t="s">
        <v>602</v>
      </c>
      <c r="B55" s="373" t="s">
        <v>603</v>
      </c>
      <c r="C55" s="792">
        <v>6597328</v>
      </c>
      <c r="D55" s="792">
        <v>6597328</v>
      </c>
    </row>
    <row r="56" spans="1:4" s="371" customFormat="1" x14ac:dyDescent="0.2">
      <c r="A56" s="372" t="s">
        <v>604</v>
      </c>
      <c r="B56" s="373" t="s">
        <v>605</v>
      </c>
      <c r="C56" s="792"/>
      <c r="D56" s="792"/>
    </row>
    <row r="57" spans="1:4" s="371" customFormat="1" x14ac:dyDescent="0.2">
      <c r="A57" s="372" t="s">
        <v>606</v>
      </c>
      <c r="B57" s="373" t="s">
        <v>607</v>
      </c>
      <c r="C57" s="793">
        <f>SUM(C55:C56)</f>
        <v>6597328</v>
      </c>
      <c r="D57" s="793">
        <f>SUM(D55:D56)</f>
        <v>6597328</v>
      </c>
    </row>
    <row r="58" spans="1:4" s="371" customFormat="1" x14ac:dyDescent="0.2">
      <c r="A58" s="372" t="s">
        <v>608</v>
      </c>
      <c r="B58" s="373" t="s">
        <v>609</v>
      </c>
      <c r="C58" s="792"/>
      <c r="D58" s="792"/>
    </row>
    <row r="59" spans="1:4" s="371" customFormat="1" x14ac:dyDescent="0.2">
      <c r="A59" s="372" t="s">
        <v>610</v>
      </c>
      <c r="B59" s="373" t="s">
        <v>611</v>
      </c>
      <c r="C59" s="792">
        <v>946800</v>
      </c>
      <c r="D59" s="792">
        <v>946800</v>
      </c>
    </row>
    <row r="60" spans="1:4" s="371" customFormat="1" x14ac:dyDescent="0.2">
      <c r="A60" s="372" t="s">
        <v>612</v>
      </c>
      <c r="B60" s="373" t="s">
        <v>613</v>
      </c>
      <c r="C60" s="792">
        <v>2458488532</v>
      </c>
      <c r="D60" s="792">
        <v>2458488532</v>
      </c>
    </row>
    <row r="61" spans="1:4" s="371" customFormat="1" x14ac:dyDescent="0.2">
      <c r="A61" s="372" t="s">
        <v>614</v>
      </c>
      <c r="B61" s="373" t="s">
        <v>615</v>
      </c>
      <c r="C61" s="792"/>
      <c r="D61" s="792"/>
    </row>
    <row r="62" spans="1:4" s="371" customFormat="1" x14ac:dyDescent="0.2">
      <c r="A62" s="372" t="s">
        <v>616</v>
      </c>
      <c r="B62" s="373" t="s">
        <v>617</v>
      </c>
      <c r="C62" s="793">
        <f>SUM(C58:C61)</f>
        <v>2459435332</v>
      </c>
      <c r="D62" s="793">
        <f>SUM(D58:D61)</f>
        <v>2459435332</v>
      </c>
    </row>
    <row r="63" spans="1:4" s="371" customFormat="1" x14ac:dyDescent="0.2">
      <c r="A63" s="372" t="s">
        <v>618</v>
      </c>
      <c r="B63" s="373" t="s">
        <v>619</v>
      </c>
      <c r="C63" s="792">
        <v>87135301</v>
      </c>
      <c r="D63" s="792">
        <v>87135301</v>
      </c>
    </row>
    <row r="64" spans="1:4" s="371" customFormat="1" x14ac:dyDescent="0.2">
      <c r="A64" s="372" t="s">
        <v>620</v>
      </c>
      <c r="B64" s="373" t="s">
        <v>621</v>
      </c>
      <c r="C64" s="792">
        <v>146548145</v>
      </c>
      <c r="D64" s="792">
        <v>146548145</v>
      </c>
    </row>
    <row r="65" spans="1:4" s="371" customFormat="1" x14ac:dyDescent="0.2">
      <c r="A65" s="372" t="s">
        <v>622</v>
      </c>
      <c r="B65" s="373" t="s">
        <v>623</v>
      </c>
      <c r="C65" s="792">
        <v>48880732</v>
      </c>
      <c r="D65" s="792">
        <v>48880732</v>
      </c>
    </row>
    <row r="66" spans="1:4" s="371" customFormat="1" x14ac:dyDescent="0.2">
      <c r="A66" s="372" t="s">
        <v>624</v>
      </c>
      <c r="B66" s="373" t="s">
        <v>625</v>
      </c>
      <c r="C66" s="793">
        <f>SUM(C63:C65)</f>
        <v>282564178</v>
      </c>
      <c r="D66" s="793">
        <f>SUM(D63:D65)</f>
        <v>282564178</v>
      </c>
    </row>
    <row r="67" spans="1:4" s="371" customFormat="1" x14ac:dyDescent="0.2">
      <c r="A67" s="791" t="s">
        <v>878</v>
      </c>
      <c r="B67" s="373" t="s">
        <v>1062</v>
      </c>
      <c r="C67" s="792">
        <v>15427007</v>
      </c>
      <c r="D67" s="792">
        <v>15427007</v>
      </c>
    </row>
    <row r="68" spans="1:4" s="371" customFormat="1" x14ac:dyDescent="0.2">
      <c r="A68" s="791" t="s">
        <v>879</v>
      </c>
      <c r="B68" s="373" t="s">
        <v>1063</v>
      </c>
      <c r="C68" s="792">
        <v>-3122418</v>
      </c>
      <c r="D68" s="792">
        <v>-3122418</v>
      </c>
    </row>
    <row r="69" spans="1:4" s="790" customFormat="1" ht="21" x14ac:dyDescent="0.2">
      <c r="A69" s="791" t="s">
        <v>626</v>
      </c>
      <c r="B69" s="373" t="s">
        <v>1064</v>
      </c>
      <c r="C69" s="792"/>
      <c r="D69" s="792"/>
    </row>
    <row r="70" spans="1:4" s="371" customFormat="1" x14ac:dyDescent="0.2">
      <c r="A70" s="372" t="s">
        <v>1061</v>
      </c>
      <c r="B70" s="373" t="s">
        <v>628</v>
      </c>
      <c r="C70" s="793">
        <f>SUM(C67:C69)</f>
        <v>12304589</v>
      </c>
      <c r="D70" s="793">
        <f>SUM(D67:D69)</f>
        <v>12304589</v>
      </c>
    </row>
    <row r="71" spans="1:4" s="371" customFormat="1" x14ac:dyDescent="0.2">
      <c r="A71" s="372" t="s">
        <v>627</v>
      </c>
      <c r="B71" s="373" t="s">
        <v>630</v>
      </c>
      <c r="C71" s="792">
        <v>3487436</v>
      </c>
      <c r="D71" s="792">
        <v>3487436</v>
      </c>
    </row>
    <row r="72" spans="1:4" s="371" customFormat="1" ht="16.5" thickBot="1" x14ac:dyDescent="0.25">
      <c r="A72" s="375" t="s">
        <v>629</v>
      </c>
      <c r="B72" s="376" t="s">
        <v>880</v>
      </c>
      <c r="C72" s="377">
        <f>C54+C57+C62+C66+C70+C71</f>
        <v>11944217328</v>
      </c>
      <c r="D72" s="377">
        <f>D54+D57+D62+D66+D70+D71</f>
        <v>9081973266</v>
      </c>
    </row>
    <row r="73" spans="1:4" x14ac:dyDescent="0.25">
      <c r="A73" s="378"/>
      <c r="C73" s="379"/>
      <c r="D73" s="379"/>
    </row>
    <row r="74" spans="1:4" x14ac:dyDescent="0.25">
      <c r="A74" s="378"/>
      <c r="C74" s="379"/>
      <c r="D74" s="379"/>
    </row>
    <row r="75" spans="1:4" x14ac:dyDescent="0.25">
      <c r="A75" s="380"/>
      <c r="C75" s="379"/>
      <c r="D75" s="379"/>
    </row>
    <row r="76" spans="1:4" x14ac:dyDescent="0.25">
      <c r="A76" s="1460"/>
      <c r="B76" s="1460"/>
      <c r="C76" s="1460"/>
      <c r="D76" s="1460"/>
    </row>
    <row r="77" spans="1:4" x14ac:dyDescent="0.25">
      <c r="A77" s="1460"/>
      <c r="B77" s="1460"/>
      <c r="C77" s="1460"/>
      <c r="D77" s="1460"/>
    </row>
  </sheetData>
  <mergeCells count="12">
    <mergeCell ref="A1:D1"/>
    <mergeCell ref="A76:D76"/>
    <mergeCell ref="A77:D77"/>
    <mergeCell ref="A2:D2"/>
    <mergeCell ref="A3:D3"/>
    <mergeCell ref="A4:D4"/>
    <mergeCell ref="A6:A8"/>
    <mergeCell ref="B6:B8"/>
    <mergeCell ref="C6:C7"/>
    <mergeCell ref="D6:D7"/>
    <mergeCell ref="C8:D8"/>
    <mergeCell ref="A5:D5"/>
  </mergeCells>
  <printOptions horizontalCentered="1"/>
  <pageMargins left="0.78740157480314965" right="0.82677165354330717" top="0.9055118110236221" bottom="0.98425196850393704" header="0.78740157480314965" footer="0.78740157480314965"/>
  <pageSetup paperSize="9" scale="85" orientation="portrait" horizontalDpi="300" verticalDpi="300" r:id="rId1"/>
  <headerFooter alignWithMargins="0">
    <oddFooter>&amp;C&amp;P</oddFooter>
  </headerFooter>
  <rowBreaks count="1" manualBreakCount="1">
    <brk id="47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5"/>
  <dimension ref="A1:E28"/>
  <sheetViews>
    <sheetView zoomScale="120" zoomScaleNormal="120" workbookViewId="0">
      <selection activeCell="B13" sqref="B13"/>
    </sheetView>
  </sheetViews>
  <sheetFormatPr defaultRowHeight="12.75" x14ac:dyDescent="0.2"/>
  <cols>
    <col min="1" max="1" width="71.1640625" style="382" customWidth="1"/>
    <col min="2" max="2" width="6.1640625" style="394" customWidth="1"/>
    <col min="3" max="3" width="18" style="381" customWidth="1"/>
    <col min="4" max="16384" width="9.33203125" style="381"/>
  </cols>
  <sheetData>
    <row r="1" spans="1:3" ht="30" customHeight="1" x14ac:dyDescent="0.2">
      <c r="A1" s="1476" t="str">
        <f>CONCATENATE("23. melléklet, 7.2. tájékoztató tábla ",Z_ALAPADATOK!A7," ",Z_ALAPADATOK!B7," ",Z_ALAPADATOK!C7," ",Z_ALAPADATOK!D7," ",Z_ALAPADATOK!E7," ",Z_ALAPADATOK!F7," ",Z_ALAPADATOK!G7," ",Z_ALAPADATOK!H7)</f>
        <v>23. melléklet, 7.2. tájékoztató tábla a 12 / 2022. ( V.30. ) önkormányzati rendelethez</v>
      </c>
      <c r="B1" s="1477"/>
      <c r="C1" s="1477"/>
    </row>
    <row r="2" spans="1:3" ht="16.5" customHeight="1" x14ac:dyDescent="0.2">
      <c r="A2" s="469"/>
      <c r="B2" s="470"/>
      <c r="C2" s="471"/>
    </row>
    <row r="3" spans="1:3" ht="16.5" customHeight="1" x14ac:dyDescent="0.2">
      <c r="A3" s="1480" t="s">
        <v>689</v>
      </c>
      <c r="B3" s="1480"/>
      <c r="C3" s="1480"/>
    </row>
    <row r="4" spans="1:3" ht="16.5" customHeight="1" x14ac:dyDescent="0.2">
      <c r="A4" s="1478" t="s">
        <v>720</v>
      </c>
      <c r="B4" s="1478"/>
      <c r="C4" s="1478"/>
    </row>
    <row r="5" spans="1:3" ht="16.5" customHeight="1" x14ac:dyDescent="0.2">
      <c r="A5" s="1478" t="str">
        <f>Z_7.1.tájékoztató_t.!A4</f>
        <v>2021. év</v>
      </c>
      <c r="B5" s="1479"/>
      <c r="C5" s="1479"/>
    </row>
    <row r="6" spans="1:3" ht="13.5" thickBot="1" x14ac:dyDescent="0.25">
      <c r="A6" s="1487" t="str">
        <f>Z_6.tájékoztató_t.!A6</f>
        <v>Forintban</v>
      </c>
      <c r="B6" s="1487"/>
      <c r="C6" s="1487"/>
    </row>
    <row r="7" spans="1:3" s="383" customFormat="1" ht="31.5" customHeight="1" x14ac:dyDescent="0.2">
      <c r="A7" s="1481" t="s">
        <v>631</v>
      </c>
      <c r="B7" s="1483" t="s">
        <v>531</v>
      </c>
      <c r="C7" s="1485" t="s">
        <v>632</v>
      </c>
    </row>
    <row r="8" spans="1:3" s="383" customFormat="1" x14ac:dyDescent="0.2">
      <c r="A8" s="1482"/>
      <c r="B8" s="1484"/>
      <c r="C8" s="1486"/>
    </row>
    <row r="9" spans="1:3" s="384" customFormat="1" ht="13.5" thickBot="1" x14ac:dyDescent="0.25">
      <c r="A9" s="472" t="s">
        <v>354</v>
      </c>
      <c r="B9" s="473" t="s">
        <v>355</v>
      </c>
      <c r="C9" s="474" t="s">
        <v>356</v>
      </c>
    </row>
    <row r="10" spans="1:3" ht="15.75" customHeight="1" x14ac:dyDescent="0.2">
      <c r="A10" s="372" t="s">
        <v>633</v>
      </c>
      <c r="B10" s="385" t="s">
        <v>537</v>
      </c>
      <c r="C10" s="386">
        <v>10829319854</v>
      </c>
    </row>
    <row r="11" spans="1:3" ht="15.75" customHeight="1" x14ac:dyDescent="0.2">
      <c r="A11" s="372" t="s">
        <v>634</v>
      </c>
      <c r="B11" s="373" t="s">
        <v>539</v>
      </c>
      <c r="C11" s="386">
        <v>4473022</v>
      </c>
    </row>
    <row r="12" spans="1:3" ht="15.75" customHeight="1" x14ac:dyDescent="0.2">
      <c r="A12" s="372" t="s">
        <v>635</v>
      </c>
      <c r="B12" s="373" t="s">
        <v>541</v>
      </c>
      <c r="C12" s="386">
        <v>-219158699</v>
      </c>
    </row>
    <row r="13" spans="1:3" ht="15.75" customHeight="1" x14ac:dyDescent="0.2">
      <c r="A13" s="372" t="s">
        <v>636</v>
      </c>
      <c r="B13" s="373" t="s">
        <v>543</v>
      </c>
      <c r="C13" s="387">
        <v>-4807773240</v>
      </c>
    </row>
    <row r="14" spans="1:3" ht="15.75" customHeight="1" x14ac:dyDescent="0.2">
      <c r="A14" s="372" t="s">
        <v>637</v>
      </c>
      <c r="B14" s="373" t="s">
        <v>545</v>
      </c>
      <c r="C14" s="387"/>
    </row>
    <row r="15" spans="1:3" ht="15.75" customHeight="1" x14ac:dyDescent="0.2">
      <c r="A15" s="372" t="s">
        <v>638</v>
      </c>
      <c r="B15" s="373" t="s">
        <v>547</v>
      </c>
      <c r="C15" s="387">
        <v>-18461313</v>
      </c>
    </row>
    <row r="16" spans="1:3" ht="15.75" customHeight="1" x14ac:dyDescent="0.2">
      <c r="A16" s="372" t="s">
        <v>639</v>
      </c>
      <c r="B16" s="373" t="s">
        <v>549</v>
      </c>
      <c r="C16" s="388">
        <f>+C10+C11+C12+C13+C14+C15</f>
        <v>5788399624</v>
      </c>
    </row>
    <row r="17" spans="1:5" ht="15.75" customHeight="1" x14ac:dyDescent="0.2">
      <c r="A17" s="372" t="s">
        <v>640</v>
      </c>
      <c r="B17" s="373" t="s">
        <v>551</v>
      </c>
      <c r="C17" s="389">
        <v>4607453</v>
      </c>
    </row>
    <row r="18" spans="1:5" ht="15.75" customHeight="1" x14ac:dyDescent="0.2">
      <c r="A18" s="372" t="s">
        <v>641</v>
      </c>
      <c r="B18" s="373" t="s">
        <v>553</v>
      </c>
      <c r="C18" s="387">
        <v>155271493</v>
      </c>
    </row>
    <row r="19" spans="1:5" ht="15.75" customHeight="1" x14ac:dyDescent="0.2">
      <c r="A19" s="372" t="s">
        <v>642</v>
      </c>
      <c r="B19" s="373" t="s">
        <v>15</v>
      </c>
      <c r="C19" s="387">
        <v>70729835</v>
      </c>
    </row>
    <row r="20" spans="1:5" ht="15.75" customHeight="1" x14ac:dyDescent="0.2">
      <c r="A20" s="372" t="s">
        <v>643</v>
      </c>
      <c r="B20" s="373" t="s">
        <v>16</v>
      </c>
      <c r="C20" s="388">
        <f>+C17+C18+C19</f>
        <v>230608781</v>
      </c>
    </row>
    <row r="21" spans="1:5" s="390" customFormat="1" ht="15.75" customHeight="1" x14ac:dyDescent="0.2">
      <c r="A21" s="372" t="s">
        <v>644</v>
      </c>
      <c r="B21" s="373" t="s">
        <v>17</v>
      </c>
      <c r="C21" s="387"/>
    </row>
    <row r="22" spans="1:5" ht="15.75" customHeight="1" x14ac:dyDescent="0.2">
      <c r="A22" s="372" t="s">
        <v>645</v>
      </c>
      <c r="B22" s="373" t="s">
        <v>18</v>
      </c>
      <c r="C22" s="387">
        <v>3062964861</v>
      </c>
    </row>
    <row r="23" spans="1:5" ht="15.75" customHeight="1" thickBot="1" x14ac:dyDescent="0.25">
      <c r="A23" s="391" t="s">
        <v>646</v>
      </c>
      <c r="B23" s="376" t="s">
        <v>19</v>
      </c>
      <c r="C23" s="392">
        <f>+C16+C20+C21+C22</f>
        <v>9081973266</v>
      </c>
    </row>
    <row r="24" spans="1:5" ht="15.75" x14ac:dyDescent="0.25">
      <c r="A24" s="378"/>
      <c r="B24" s="380"/>
      <c r="C24" s="379"/>
      <c r="D24" s="379"/>
      <c r="E24" s="379"/>
    </row>
    <row r="25" spans="1:5" ht="15.75" x14ac:dyDescent="0.25">
      <c r="A25" s="378"/>
      <c r="B25" s="380"/>
      <c r="C25" s="379"/>
      <c r="D25" s="379"/>
      <c r="E25" s="379"/>
    </row>
    <row r="26" spans="1:5" ht="15.75" x14ac:dyDescent="0.25">
      <c r="A26" s="380"/>
      <c r="B26" s="380"/>
      <c r="C26" s="379"/>
      <c r="D26" s="379"/>
      <c r="E26" s="379"/>
    </row>
    <row r="27" spans="1:5" ht="15.75" x14ac:dyDescent="0.25">
      <c r="A27" s="1475"/>
      <c r="B27" s="1475"/>
      <c r="C27" s="1475"/>
      <c r="D27" s="393"/>
      <c r="E27" s="393"/>
    </row>
    <row r="28" spans="1:5" ht="15.75" x14ac:dyDescent="0.25">
      <c r="A28" s="1475"/>
      <c r="B28" s="1475"/>
      <c r="C28" s="1475"/>
      <c r="D28" s="393"/>
      <c r="E28" s="393"/>
    </row>
  </sheetData>
  <mergeCells count="10">
    <mergeCell ref="A27:C27"/>
    <mergeCell ref="A28:C28"/>
    <mergeCell ref="A1:C1"/>
    <mergeCell ref="A5:C5"/>
    <mergeCell ref="A3:C3"/>
    <mergeCell ref="A4:C4"/>
    <mergeCell ref="A7:A8"/>
    <mergeCell ref="B7:B8"/>
    <mergeCell ref="C7:C8"/>
    <mergeCell ref="A6:C6"/>
  </mergeCells>
  <printOptions horizontalCentered="1"/>
  <pageMargins left="0.78740157480314965" right="0.78740157480314965" top="1.0629921259842521" bottom="0.98425196850393704" header="0.78740157480314965" footer="0.78740157480314965"/>
  <pageSetup paperSize="9" scale="95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6"/>
  <dimension ref="A1:F46"/>
  <sheetViews>
    <sheetView zoomScale="120" zoomScaleNormal="120" workbookViewId="0">
      <selection activeCell="D15" sqref="D15"/>
    </sheetView>
  </sheetViews>
  <sheetFormatPr defaultColWidth="12" defaultRowHeight="15.75" x14ac:dyDescent="0.25"/>
  <cols>
    <col min="1" max="1" width="58.83203125" style="395" customWidth="1"/>
    <col min="2" max="2" width="6.83203125" style="395" customWidth="1"/>
    <col min="3" max="3" width="17.1640625" style="395" customWidth="1"/>
    <col min="4" max="4" width="19.1640625" style="395" customWidth="1"/>
    <col min="5" max="16384" width="12" style="395"/>
  </cols>
  <sheetData>
    <row r="1" spans="1:4" ht="16.5" customHeight="1" x14ac:dyDescent="0.25">
      <c r="A1" s="1493" t="str">
        <f>CONCATENATE("24. melléklet, 7.3. tájékoztató tábla ",Z_ALAPADATOK!A7," ",Z_ALAPADATOK!B7," ",Z_ALAPADATOK!C7," ",Z_ALAPADATOK!D7," ",Z_ALAPADATOK!E7," ",Z_ALAPADATOK!F7," ",Z_ALAPADATOK!G7," ",Z_ALAPADATOK!H7)</f>
        <v>24. melléklet, 7.3. tájékoztató tábla a 12 / 2022. ( V.30. ) önkormányzati rendelethez</v>
      </c>
      <c r="B1" s="1493"/>
      <c r="C1" s="1493"/>
      <c r="D1" s="1493"/>
    </row>
    <row r="2" spans="1:4" s="475" customFormat="1" ht="16.5" customHeight="1" x14ac:dyDescent="0.25"/>
    <row r="3" spans="1:4" s="422" customFormat="1" ht="16.5" customHeight="1" x14ac:dyDescent="0.25">
      <c r="A3" s="1494" t="s">
        <v>689</v>
      </c>
      <c r="B3" s="1494"/>
      <c r="C3" s="1494"/>
      <c r="D3" s="1494"/>
    </row>
    <row r="4" spans="1:4" s="422" customFormat="1" ht="16.5" customHeight="1" x14ac:dyDescent="0.25">
      <c r="A4" s="1494" t="s">
        <v>884</v>
      </c>
      <c r="B4" s="1494"/>
      <c r="C4" s="1494"/>
      <c r="D4" s="1494"/>
    </row>
    <row r="5" spans="1:4" s="422" customFormat="1" ht="16.5" customHeight="1" x14ac:dyDescent="0.25">
      <c r="A5" s="1488" t="str">
        <f>Z_7.1.tájékoztató_t.!A4</f>
        <v>2021. év</v>
      </c>
      <c r="B5" s="1489"/>
      <c r="C5" s="1489"/>
      <c r="D5" s="1489"/>
    </row>
    <row r="6" spans="1:4" ht="16.5" customHeight="1" thickBot="1" x14ac:dyDescent="0.3"/>
    <row r="7" spans="1:4" ht="43.5" customHeight="1" thickBot="1" x14ac:dyDescent="0.3">
      <c r="A7" s="396" t="s">
        <v>44</v>
      </c>
      <c r="B7" s="397" t="s">
        <v>531</v>
      </c>
      <c r="C7" s="398" t="s">
        <v>647</v>
      </c>
      <c r="D7" s="399" t="s">
        <v>648</v>
      </c>
    </row>
    <row r="8" spans="1:4" ht="16.5" thickBot="1" x14ac:dyDescent="0.3">
      <c r="A8" s="400" t="s">
        <v>354</v>
      </c>
      <c r="B8" s="401" t="s">
        <v>355</v>
      </c>
      <c r="C8" s="401" t="s">
        <v>356</v>
      </c>
      <c r="D8" s="402" t="s">
        <v>358</v>
      </c>
    </row>
    <row r="9" spans="1:4" ht="15.75" customHeight="1" x14ac:dyDescent="0.25">
      <c r="A9" s="403" t="s">
        <v>649</v>
      </c>
      <c r="B9" s="404" t="s">
        <v>6</v>
      </c>
      <c r="C9" s="672">
        <f>564-62+67</f>
        <v>569</v>
      </c>
      <c r="D9" s="673">
        <f>195984632+24902961</f>
        <v>220887593</v>
      </c>
    </row>
    <row r="10" spans="1:4" ht="15.75" customHeight="1" x14ac:dyDescent="0.25">
      <c r="A10" s="403" t="s">
        <v>650</v>
      </c>
      <c r="B10" s="407" t="s">
        <v>7</v>
      </c>
      <c r="C10" s="669">
        <v>85</v>
      </c>
      <c r="D10" s="670">
        <v>3444584</v>
      </c>
    </row>
    <row r="11" spans="1:4" ht="15.75" customHeight="1" x14ac:dyDescent="0.25">
      <c r="A11" s="403" t="s">
        <v>651</v>
      </c>
      <c r="B11" s="407" t="s">
        <v>8</v>
      </c>
      <c r="C11" s="669">
        <f>83412-2973+1790</f>
        <v>82229</v>
      </c>
      <c r="D11" s="670">
        <f>88799267+44517644</f>
        <v>133316911</v>
      </c>
    </row>
    <row r="12" spans="1:4" ht="15.75" customHeight="1" thickBot="1" x14ac:dyDescent="0.3">
      <c r="A12" s="410" t="s">
        <v>652</v>
      </c>
      <c r="B12" s="411" t="s">
        <v>9</v>
      </c>
      <c r="C12" s="412"/>
      <c r="D12" s="413">
        <f>2152564</f>
        <v>2152564</v>
      </c>
    </row>
    <row r="13" spans="1:4" ht="15.75" customHeight="1" thickBot="1" x14ac:dyDescent="0.3">
      <c r="A13" s="414" t="s">
        <v>653</v>
      </c>
      <c r="B13" s="415" t="s">
        <v>10</v>
      </c>
      <c r="C13" s="518"/>
      <c r="D13" s="671">
        <v>506415613</v>
      </c>
    </row>
    <row r="14" spans="1:4" ht="15.75" customHeight="1" x14ac:dyDescent="0.25">
      <c r="A14" s="417" t="s">
        <v>654</v>
      </c>
      <c r="B14" s="404" t="s">
        <v>11</v>
      </c>
      <c r="C14" s="1165">
        <v>1814</v>
      </c>
      <c r="D14" s="413">
        <v>520998164</v>
      </c>
    </row>
    <row r="15" spans="1:4" ht="15.75" customHeight="1" x14ac:dyDescent="0.25">
      <c r="A15" s="403" t="s">
        <v>655</v>
      </c>
      <c r="B15" s="407" t="s">
        <v>12</v>
      </c>
      <c r="C15" s="408"/>
      <c r="D15" s="409"/>
    </row>
    <row r="16" spans="1:4" ht="15.75" customHeight="1" x14ac:dyDescent="0.25">
      <c r="A16" s="403" t="s">
        <v>656</v>
      </c>
      <c r="B16" s="407" t="s">
        <v>13</v>
      </c>
      <c r="C16" s="408"/>
      <c r="D16" s="409"/>
    </row>
    <row r="17" spans="1:4" ht="15.75" customHeight="1" thickBot="1" x14ac:dyDescent="0.3">
      <c r="A17" s="410" t="s">
        <v>657</v>
      </c>
      <c r="B17" s="411" t="s">
        <v>14</v>
      </c>
      <c r="C17" s="412"/>
      <c r="D17" s="413"/>
    </row>
    <row r="18" spans="1:4" ht="15.75" customHeight="1" thickBot="1" x14ac:dyDescent="0.3">
      <c r="A18" s="414" t="s">
        <v>658</v>
      </c>
      <c r="B18" s="415" t="s">
        <v>15</v>
      </c>
      <c r="C18" s="518"/>
      <c r="D18" s="416">
        <f>+D19+D20+D21</f>
        <v>0</v>
      </c>
    </row>
    <row r="19" spans="1:4" ht="15.75" customHeight="1" x14ac:dyDescent="0.25">
      <c r="A19" s="417" t="s">
        <v>659</v>
      </c>
      <c r="B19" s="404" t="s">
        <v>16</v>
      </c>
      <c r="C19" s="405"/>
      <c r="D19" s="406"/>
    </row>
    <row r="20" spans="1:4" ht="15.75" customHeight="1" x14ac:dyDescent="0.25">
      <c r="A20" s="403" t="s">
        <v>660</v>
      </c>
      <c r="B20" s="407" t="s">
        <v>17</v>
      </c>
      <c r="C20" s="408"/>
      <c r="D20" s="409"/>
    </row>
    <row r="21" spans="1:4" ht="15.75" customHeight="1" thickBot="1" x14ac:dyDescent="0.3">
      <c r="A21" s="410" t="s">
        <v>661</v>
      </c>
      <c r="B21" s="411" t="s">
        <v>18</v>
      </c>
      <c r="C21" s="412"/>
      <c r="D21" s="413"/>
    </row>
    <row r="22" spans="1:4" ht="15.75" customHeight="1" thickBot="1" x14ac:dyDescent="0.3">
      <c r="A22" s="414" t="s">
        <v>662</v>
      </c>
      <c r="B22" s="415" t="s">
        <v>19</v>
      </c>
      <c r="C22" s="518"/>
      <c r="D22" s="416">
        <f>+D23+D24+D25</f>
        <v>0</v>
      </c>
    </row>
    <row r="23" spans="1:4" ht="15.75" customHeight="1" x14ac:dyDescent="0.25">
      <c r="A23" s="417" t="s">
        <v>663</v>
      </c>
      <c r="B23" s="404" t="s">
        <v>20</v>
      </c>
      <c r="C23" s="672">
        <v>49763</v>
      </c>
      <c r="D23" s="406"/>
    </row>
    <row r="24" spans="1:4" ht="15.75" customHeight="1" x14ac:dyDescent="0.25">
      <c r="A24" s="403" t="s">
        <v>664</v>
      </c>
      <c r="B24" s="407" t="s">
        <v>21</v>
      </c>
      <c r="C24" s="669">
        <v>35346</v>
      </c>
      <c r="D24" s="409"/>
    </row>
    <row r="25" spans="1:4" ht="15.75" customHeight="1" x14ac:dyDescent="0.25">
      <c r="A25" s="403" t="s">
        <v>665</v>
      </c>
      <c r="B25" s="407" t="s">
        <v>22</v>
      </c>
      <c r="C25" s="669">
        <v>8418</v>
      </c>
      <c r="D25" s="409"/>
    </row>
    <row r="26" spans="1:4" ht="15.75" customHeight="1" x14ac:dyDescent="0.25">
      <c r="A26" s="403" t="s">
        <v>666</v>
      </c>
      <c r="B26" s="407" t="s">
        <v>23</v>
      </c>
      <c r="C26" s="669"/>
      <c r="D26" s="409"/>
    </row>
    <row r="27" spans="1:4" ht="15.75" customHeight="1" x14ac:dyDescent="0.25">
      <c r="A27" s="403"/>
      <c r="B27" s="407" t="s">
        <v>24</v>
      </c>
      <c r="C27" s="408"/>
      <c r="D27" s="409"/>
    </row>
    <row r="28" spans="1:4" ht="15.75" customHeight="1" x14ac:dyDescent="0.25">
      <c r="A28" s="403"/>
      <c r="B28" s="407" t="s">
        <v>25</v>
      </c>
      <c r="C28" s="408"/>
      <c r="D28" s="409"/>
    </row>
    <row r="29" spans="1:4" ht="15.75" customHeight="1" x14ac:dyDescent="0.25">
      <c r="A29" s="403"/>
      <c r="B29" s="407" t="s">
        <v>26</v>
      </c>
      <c r="C29" s="408"/>
      <c r="D29" s="409"/>
    </row>
    <row r="30" spans="1:4" ht="15.75" customHeight="1" x14ac:dyDescent="0.25">
      <c r="A30" s="403"/>
      <c r="B30" s="407" t="s">
        <v>27</v>
      </c>
      <c r="C30" s="408"/>
      <c r="D30" s="409"/>
    </row>
    <row r="31" spans="1:4" ht="15.75" customHeight="1" x14ac:dyDescent="0.25">
      <c r="A31" s="403"/>
      <c r="B31" s="407" t="s">
        <v>28</v>
      </c>
      <c r="C31" s="408"/>
      <c r="D31" s="409"/>
    </row>
    <row r="32" spans="1:4" ht="15.75" customHeight="1" x14ac:dyDescent="0.25">
      <c r="A32" s="403"/>
      <c r="B32" s="407" t="s">
        <v>29</v>
      </c>
      <c r="C32" s="408"/>
      <c r="D32" s="409"/>
    </row>
    <row r="33" spans="1:6" ht="15.75" customHeight="1" x14ac:dyDescent="0.25">
      <c r="A33" s="403"/>
      <c r="B33" s="407" t="s">
        <v>30</v>
      </c>
      <c r="C33" s="408"/>
      <c r="D33" s="409"/>
    </row>
    <row r="34" spans="1:6" ht="15.75" customHeight="1" x14ac:dyDescent="0.25">
      <c r="A34" s="403"/>
      <c r="B34" s="407" t="s">
        <v>31</v>
      </c>
      <c r="C34" s="408"/>
      <c r="D34" s="409"/>
    </row>
    <row r="35" spans="1:6" ht="15.75" customHeight="1" x14ac:dyDescent="0.25">
      <c r="A35" s="403"/>
      <c r="B35" s="407" t="s">
        <v>32</v>
      </c>
      <c r="C35" s="408"/>
      <c r="D35" s="409"/>
    </row>
    <row r="36" spans="1:6" ht="15.75" customHeight="1" x14ac:dyDescent="0.25">
      <c r="A36" s="403"/>
      <c r="B36" s="407" t="s">
        <v>33</v>
      </c>
      <c r="C36" s="408"/>
      <c r="D36" s="409"/>
    </row>
    <row r="37" spans="1:6" ht="15.75" customHeight="1" x14ac:dyDescent="0.25">
      <c r="A37" s="403"/>
      <c r="B37" s="407" t="s">
        <v>525</v>
      </c>
      <c r="C37" s="408"/>
      <c r="D37" s="409"/>
    </row>
    <row r="38" spans="1:6" ht="15.75" customHeight="1" x14ac:dyDescent="0.25">
      <c r="A38" s="403"/>
      <c r="B38" s="407" t="s">
        <v>526</v>
      </c>
      <c r="C38" s="408"/>
      <c r="D38" s="409"/>
    </row>
    <row r="39" spans="1:6" ht="15.75" customHeight="1" x14ac:dyDescent="0.25">
      <c r="A39" s="403"/>
      <c r="B39" s="407" t="s">
        <v>527</v>
      </c>
      <c r="C39" s="408"/>
      <c r="D39" s="409"/>
    </row>
    <row r="40" spans="1:6" ht="15.75" customHeight="1" x14ac:dyDescent="0.25">
      <c r="A40" s="403"/>
      <c r="B40" s="407" t="s">
        <v>528</v>
      </c>
      <c r="C40" s="408"/>
      <c r="D40" s="409"/>
    </row>
    <row r="41" spans="1:6" ht="15.75" customHeight="1" thickBot="1" x14ac:dyDescent="0.3">
      <c r="A41" s="410"/>
      <c r="B41" s="411" t="s">
        <v>529</v>
      </c>
      <c r="C41" s="412"/>
      <c r="D41" s="413"/>
    </row>
    <row r="42" spans="1:6" ht="15.75" customHeight="1" thickBot="1" x14ac:dyDescent="0.3">
      <c r="A42" s="1490" t="s">
        <v>667</v>
      </c>
      <c r="B42" s="1491"/>
      <c r="C42" s="418"/>
      <c r="D42" s="416">
        <v>809226647</v>
      </c>
      <c r="F42" s="419"/>
    </row>
    <row r="43" spans="1:6" x14ac:dyDescent="0.25">
      <c r="A43" s="1495" t="s">
        <v>668</v>
      </c>
      <c r="B43" s="1495"/>
      <c r="C43" s="1495"/>
      <c r="D43" s="1495"/>
    </row>
    <row r="44" spans="1:6" x14ac:dyDescent="0.25">
      <c r="A44" s="420"/>
      <c r="B44" s="420"/>
      <c r="C44" s="1492"/>
      <c r="D44" s="1492"/>
    </row>
    <row r="45" spans="1:6" x14ac:dyDescent="0.25">
      <c r="A45" s="421"/>
      <c r="B45" s="421"/>
    </row>
    <row r="46" spans="1:6" x14ac:dyDescent="0.25">
      <c r="A46" s="421"/>
      <c r="B46" s="421"/>
      <c r="C46" s="421"/>
    </row>
  </sheetData>
  <mergeCells count="7">
    <mergeCell ref="A5:D5"/>
    <mergeCell ref="A42:B42"/>
    <mergeCell ref="C44:D44"/>
    <mergeCell ref="A1:D1"/>
    <mergeCell ref="A3:D3"/>
    <mergeCell ref="A4:D4"/>
    <mergeCell ref="A43:D43"/>
  </mergeCells>
  <printOptions horizontalCentered="1"/>
  <pageMargins left="0.78740157480314965" right="0.78740157480314965" top="0.94488188976377963" bottom="0.98425196850393704" header="0.78740157480314965" footer="0.78740157480314965"/>
  <pageSetup paperSize="9" scale="93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7"/>
  <dimension ref="A1:E24"/>
  <sheetViews>
    <sheetView zoomScale="120" zoomScaleNormal="120" workbookViewId="0">
      <selection activeCell="C12" sqref="C12"/>
    </sheetView>
  </sheetViews>
  <sheetFormatPr defaultRowHeight="12.75" x14ac:dyDescent="0.2"/>
  <cols>
    <col min="1" max="1" width="9.33203125" style="63"/>
    <col min="2" max="2" width="51.83203125" style="63" customWidth="1"/>
    <col min="3" max="3" width="25" style="63" customWidth="1"/>
    <col min="4" max="4" width="22.83203125" style="63" customWidth="1"/>
    <col min="5" max="5" width="5.5" style="63" customWidth="1"/>
    <col min="6" max="16384" width="9.33203125" style="63"/>
  </cols>
  <sheetData>
    <row r="1" spans="1:5" x14ac:dyDescent="0.2">
      <c r="A1" s="479"/>
      <c r="B1" s="479"/>
      <c r="C1" s="479"/>
      <c r="D1" s="479"/>
    </row>
    <row r="2" spans="1:5" ht="30.75" customHeight="1" x14ac:dyDescent="0.25">
      <c r="A2" s="1499" t="str">
        <f>CONCATENATE(PROPER(Z_ALAPADATOK!A3)," tulajdonában álló gazdálkodó szervezetek működéséből származó")</f>
        <v>Tiszavasvári Város Önkormányzata tulajdonában álló gazdálkodó szervezetek működéséből származó</v>
      </c>
      <c r="B2" s="1499"/>
      <c r="C2" s="1499"/>
      <c r="D2" s="1499"/>
    </row>
    <row r="3" spans="1:5" ht="15.75" x14ac:dyDescent="0.25">
      <c r="A3" s="1500" t="str">
        <f>CONCATENATE("kötelezettségek és részesedések alakulása ",Z_ALAPADATOK!B1,". évben")</f>
        <v>kötelezettségek és részesedések alakulása 2021. évben</v>
      </c>
      <c r="B3" s="1304"/>
      <c r="C3" s="1304"/>
      <c r="D3" s="1304"/>
      <c r="E3" s="1496" t="str">
        <f>CONCATENATE("25. melléklet, 8. tájékoztató tábla ",Z_ALAPADATOK!A7," ",Z_ALAPADATOK!B7," ",Z_ALAPADATOK!C7," ",Z_ALAPADATOK!D7," ",Z_ALAPADATOK!E7," ",Z_ALAPADATOK!F7," ",Z_ALAPADATOK!G7," ",Z_ALAPADATOK!H7)</f>
        <v>25. melléklet, 8. tájékoztató tábla a 12 / 2022. ( V.30. ) önkormányzati rendelethez</v>
      </c>
    </row>
    <row r="4" spans="1:5" ht="16.5" thickBot="1" x14ac:dyDescent="0.3">
      <c r="A4" s="480"/>
      <c r="B4" s="479"/>
      <c r="C4" s="479"/>
      <c r="D4" s="479"/>
      <c r="E4" s="1496"/>
    </row>
    <row r="5" spans="1:5" ht="32.25" thickBot="1" x14ac:dyDescent="0.25">
      <c r="A5" s="481" t="s">
        <v>531</v>
      </c>
      <c r="B5" s="482" t="s">
        <v>669</v>
      </c>
      <c r="C5" s="482" t="s">
        <v>670</v>
      </c>
      <c r="D5" s="482" t="s">
        <v>671</v>
      </c>
      <c r="E5" s="1496"/>
    </row>
    <row r="6" spans="1:5" ht="15.75" x14ac:dyDescent="0.2">
      <c r="A6" s="476" t="s">
        <v>6</v>
      </c>
      <c r="B6" s="560" t="s">
        <v>842</v>
      </c>
      <c r="C6" s="561">
        <v>100</v>
      </c>
      <c r="D6" s="563">
        <v>25500000</v>
      </c>
      <c r="E6" s="1496"/>
    </row>
    <row r="7" spans="1:5" ht="31.5" x14ac:dyDescent="0.2">
      <c r="A7" s="477" t="s">
        <v>7</v>
      </c>
      <c r="B7" s="560" t="s">
        <v>843</v>
      </c>
      <c r="C7" s="561">
        <v>9.0299999999999994</v>
      </c>
      <c r="D7" s="563">
        <v>2000000</v>
      </c>
      <c r="E7" s="1496"/>
    </row>
    <row r="8" spans="1:5" ht="15.75" x14ac:dyDescent="0.2">
      <c r="A8" s="477" t="s">
        <v>8</v>
      </c>
      <c r="B8" s="560" t="s">
        <v>844</v>
      </c>
      <c r="C8" s="562"/>
      <c r="D8" s="563">
        <v>29000</v>
      </c>
      <c r="E8" s="1496"/>
    </row>
    <row r="9" spans="1:5" ht="15.75" x14ac:dyDescent="0.2">
      <c r="A9" s="477" t="s">
        <v>9</v>
      </c>
      <c r="B9" s="424"/>
      <c r="C9" s="425"/>
      <c r="D9" s="426"/>
      <c r="E9" s="1496"/>
    </row>
    <row r="10" spans="1:5" ht="15.75" x14ac:dyDescent="0.2">
      <c r="A10" s="477" t="s">
        <v>10</v>
      </c>
      <c r="B10" s="424"/>
      <c r="C10" s="425"/>
      <c r="D10" s="426"/>
      <c r="E10" s="1496"/>
    </row>
    <row r="11" spans="1:5" ht="15.75" x14ac:dyDescent="0.2">
      <c r="A11" s="477" t="s">
        <v>11</v>
      </c>
      <c r="B11" s="424"/>
      <c r="C11" s="425"/>
      <c r="D11" s="426"/>
      <c r="E11" s="1496"/>
    </row>
    <row r="12" spans="1:5" ht="15.75" x14ac:dyDescent="0.2">
      <c r="A12" s="477" t="s">
        <v>12</v>
      </c>
      <c r="B12" s="424"/>
      <c r="C12" s="425"/>
      <c r="D12" s="426"/>
      <c r="E12" s="1496"/>
    </row>
    <row r="13" spans="1:5" ht="15.75" x14ac:dyDescent="0.2">
      <c r="A13" s="477" t="s">
        <v>13</v>
      </c>
      <c r="B13" s="424"/>
      <c r="C13" s="425"/>
      <c r="D13" s="426"/>
      <c r="E13" s="1496"/>
    </row>
    <row r="14" spans="1:5" ht="15.75" x14ac:dyDescent="0.2">
      <c r="A14" s="477" t="s">
        <v>14</v>
      </c>
      <c r="B14" s="424"/>
      <c r="C14" s="425"/>
      <c r="D14" s="426"/>
      <c r="E14" s="1496"/>
    </row>
    <row r="15" spans="1:5" ht="15.75" x14ac:dyDescent="0.2">
      <c r="A15" s="477" t="s">
        <v>15</v>
      </c>
      <c r="B15" s="424"/>
      <c r="C15" s="425"/>
      <c r="D15" s="426"/>
      <c r="E15" s="1496"/>
    </row>
    <row r="16" spans="1:5" ht="15.75" x14ac:dyDescent="0.2">
      <c r="A16" s="477" t="s">
        <v>16</v>
      </c>
      <c r="B16" s="424"/>
      <c r="C16" s="425"/>
      <c r="D16" s="426"/>
      <c r="E16" s="1496"/>
    </row>
    <row r="17" spans="1:5" ht="15.75" x14ac:dyDescent="0.2">
      <c r="A17" s="477" t="s">
        <v>17</v>
      </c>
      <c r="B17" s="424"/>
      <c r="C17" s="425"/>
      <c r="D17" s="426"/>
      <c r="E17" s="1496"/>
    </row>
    <row r="18" spans="1:5" ht="15.75" x14ac:dyDescent="0.2">
      <c r="A18" s="477" t="s">
        <v>18</v>
      </c>
      <c r="B18" s="424"/>
      <c r="C18" s="425"/>
      <c r="D18" s="426"/>
      <c r="E18" s="1496"/>
    </row>
    <row r="19" spans="1:5" ht="15.75" x14ac:dyDescent="0.2">
      <c r="A19" s="477" t="s">
        <v>19</v>
      </c>
      <c r="B19" s="424"/>
      <c r="C19" s="425"/>
      <c r="D19" s="426"/>
      <c r="E19" s="1496"/>
    </row>
    <row r="20" spans="1:5" ht="15.75" x14ac:dyDescent="0.2">
      <c r="A20" s="477" t="s">
        <v>20</v>
      </c>
      <c r="B20" s="424"/>
      <c r="C20" s="425"/>
      <c r="D20" s="426"/>
      <c r="E20" s="1496"/>
    </row>
    <row r="21" spans="1:5" ht="15.75" x14ac:dyDescent="0.2">
      <c r="A21" s="477" t="s">
        <v>21</v>
      </c>
      <c r="B21" s="424"/>
      <c r="C21" s="425"/>
      <c r="D21" s="426"/>
      <c r="E21" s="1496"/>
    </row>
    <row r="22" spans="1:5" ht="16.5" thickBot="1" x14ac:dyDescent="0.25">
      <c r="A22" s="478" t="s">
        <v>22</v>
      </c>
      <c r="B22" s="427"/>
      <c r="C22" s="428"/>
      <c r="D22" s="429"/>
      <c r="E22" s="1496"/>
    </row>
    <row r="23" spans="1:5" ht="16.5" thickBot="1" x14ac:dyDescent="0.3">
      <c r="A23" s="1497" t="s">
        <v>672</v>
      </c>
      <c r="B23" s="1498"/>
      <c r="C23" s="430"/>
      <c r="D23" s="431">
        <f>IF(SUM(D6:D22)=0,"",SUM(D6:D22))</f>
        <v>27529000</v>
      </c>
      <c r="E23" s="1496"/>
    </row>
    <row r="24" spans="1:5" ht="15.75" x14ac:dyDescent="0.25">
      <c r="A24" s="423"/>
    </row>
  </sheetData>
  <mergeCells count="4">
    <mergeCell ref="E3:E23"/>
    <mergeCell ref="A23:B23"/>
    <mergeCell ref="A2:D2"/>
    <mergeCell ref="A3:D3"/>
  </mergeCells>
  <printOptions horizontalCentered="1"/>
  <pageMargins left="0.70866141732283472" right="0.70866141732283472" top="0.9448818897637796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B41"/>
  <sheetViews>
    <sheetView topLeftCell="A25" zoomScale="120" zoomScaleNormal="120" workbookViewId="0">
      <selection activeCell="G11" sqref="G11"/>
    </sheetView>
  </sheetViews>
  <sheetFormatPr defaultRowHeight="12.75" x14ac:dyDescent="0.2"/>
  <cols>
    <col min="1" max="1" width="48.5" customWidth="1"/>
    <col min="2" max="2" width="73.5" customWidth="1"/>
    <col min="3" max="3" width="16.83203125" customWidth="1"/>
  </cols>
  <sheetData>
    <row r="1" spans="1:2" ht="18.75" x14ac:dyDescent="0.3">
      <c r="A1" s="220" t="s">
        <v>464</v>
      </c>
      <c r="B1" s="63"/>
    </row>
    <row r="2" spans="1:2" x14ac:dyDescent="0.2">
      <c r="A2" s="63"/>
      <c r="B2" s="63"/>
    </row>
    <row r="3" spans="1:2" x14ac:dyDescent="0.2">
      <c r="A3" s="222"/>
      <c r="B3" s="222"/>
    </row>
    <row r="4" spans="1:2" ht="15.75" x14ac:dyDescent="0.25">
      <c r="A4" s="65"/>
      <c r="B4" s="226"/>
    </row>
    <row r="5" spans="1:2" ht="15.75" x14ac:dyDescent="0.25">
      <c r="A5" s="65"/>
      <c r="B5" s="226"/>
    </row>
    <row r="6" spans="1:2" s="51" customFormat="1" ht="15.75" x14ac:dyDescent="0.25">
      <c r="A6" s="65" t="str">
        <f>CONCATENATE(Z_ALAPADATOK!B1,". évi eredeti előirányzat BEVÉTELEK")</f>
        <v>2021. évi eredeti előirányzat BEVÉTELEK</v>
      </c>
      <c r="B6" s="222"/>
    </row>
    <row r="7" spans="1:2" s="51" customFormat="1" x14ac:dyDescent="0.2">
      <c r="A7" s="222"/>
      <c r="B7" s="222"/>
    </row>
    <row r="8" spans="1:2" s="51" customFormat="1" x14ac:dyDescent="0.2">
      <c r="A8" s="222"/>
      <c r="B8" s="222"/>
    </row>
    <row r="9" spans="1:2" x14ac:dyDescent="0.2">
      <c r="A9" s="222" t="s">
        <v>415</v>
      </c>
      <c r="B9" s="222" t="s">
        <v>391</v>
      </c>
    </row>
    <row r="10" spans="1:2" x14ac:dyDescent="0.2">
      <c r="A10" s="222" t="s">
        <v>413</v>
      </c>
      <c r="B10" s="222" t="s">
        <v>397</v>
      </c>
    </row>
    <row r="11" spans="1:2" x14ac:dyDescent="0.2">
      <c r="A11" s="222" t="s">
        <v>414</v>
      </c>
      <c r="B11" s="222" t="s">
        <v>398</v>
      </c>
    </row>
    <row r="12" spans="1:2" x14ac:dyDescent="0.2">
      <c r="A12" s="222"/>
      <c r="B12" s="222"/>
    </row>
    <row r="13" spans="1:2" ht="15.75" x14ac:dyDescent="0.25">
      <c r="A13" s="65" t="str">
        <f>+CONCATENATE(LEFT(A6,4),". évi módosított előirányzat BEVÉTELEK")</f>
        <v>2021. évi módosított előirányzat BEVÉTELEK</v>
      </c>
      <c r="B13" s="226"/>
    </row>
    <row r="14" spans="1:2" x14ac:dyDescent="0.2">
      <c r="A14" s="222"/>
      <c r="B14" s="222"/>
    </row>
    <row r="15" spans="1:2" s="51" customFormat="1" x14ac:dyDescent="0.2">
      <c r="A15" s="222" t="s">
        <v>416</v>
      </c>
      <c r="B15" s="222" t="s">
        <v>392</v>
      </c>
    </row>
    <row r="16" spans="1:2" x14ac:dyDescent="0.2">
      <c r="A16" s="222" t="s">
        <v>417</v>
      </c>
      <c r="B16" s="222" t="s">
        <v>399</v>
      </c>
    </row>
    <row r="17" spans="1:2" x14ac:dyDescent="0.2">
      <c r="A17" s="222" t="s">
        <v>418</v>
      </c>
      <c r="B17" s="222" t="s">
        <v>400</v>
      </c>
    </row>
    <row r="18" spans="1:2" x14ac:dyDescent="0.2">
      <c r="A18" s="222"/>
      <c r="B18" s="222"/>
    </row>
    <row r="19" spans="1:2" ht="14.25" x14ac:dyDescent="0.2">
      <c r="A19" s="229" t="str">
        <f>+CONCATENATE(LEFT(A6,4),".évi teljesített BEVÉTELEK")</f>
        <v>2021.évi teljesített BEVÉTELEK</v>
      </c>
      <c r="B19" s="226"/>
    </row>
    <row r="20" spans="1:2" x14ac:dyDescent="0.2">
      <c r="A20" s="222"/>
      <c r="B20" s="222"/>
    </row>
    <row r="21" spans="1:2" x14ac:dyDescent="0.2">
      <c r="A21" s="222" t="s">
        <v>419</v>
      </c>
      <c r="B21" s="222" t="s">
        <v>393</v>
      </c>
    </row>
    <row r="22" spans="1:2" x14ac:dyDescent="0.2">
      <c r="A22" s="222" t="s">
        <v>420</v>
      </c>
      <c r="B22" s="222" t="s">
        <v>401</v>
      </c>
    </row>
    <row r="23" spans="1:2" x14ac:dyDescent="0.2">
      <c r="A23" s="222" t="s">
        <v>421</v>
      </c>
      <c r="B23" s="222" t="s">
        <v>402</v>
      </c>
    </row>
    <row r="24" spans="1:2" x14ac:dyDescent="0.2">
      <c r="A24" s="222"/>
      <c r="B24" s="222"/>
    </row>
    <row r="25" spans="1:2" ht="15.75" x14ac:dyDescent="0.25">
      <c r="A25" s="65" t="str">
        <f>+CONCATENATE(LEFT(A6,4),". évi eredeti előirányzat KIADÁSOK")</f>
        <v>2021. évi eredeti előirányzat KIADÁSOK</v>
      </c>
      <c r="B25" s="226"/>
    </row>
    <row r="26" spans="1:2" x14ac:dyDescent="0.2">
      <c r="A26" s="222"/>
      <c r="B26" s="222"/>
    </row>
    <row r="27" spans="1:2" x14ac:dyDescent="0.2">
      <c r="A27" s="222" t="s">
        <v>422</v>
      </c>
      <c r="B27" s="222" t="s">
        <v>394</v>
      </c>
    </row>
    <row r="28" spans="1:2" x14ac:dyDescent="0.2">
      <c r="A28" s="222" t="s">
        <v>423</v>
      </c>
      <c r="B28" s="222" t="s">
        <v>403</v>
      </c>
    </row>
    <row r="29" spans="1:2" x14ac:dyDescent="0.2">
      <c r="A29" s="222" t="s">
        <v>424</v>
      </c>
      <c r="B29" s="222" t="s">
        <v>404</v>
      </c>
    </row>
    <row r="30" spans="1:2" x14ac:dyDescent="0.2">
      <c r="A30" s="222"/>
      <c r="B30" s="222"/>
    </row>
    <row r="31" spans="1:2" ht="15.75" x14ac:dyDescent="0.25">
      <c r="A31" s="65" t="str">
        <f>+CONCATENATE(LEFT(A6,4),". évi módosított előirányzat KIADÁSOK")</f>
        <v>2021. évi módosított előirányzat KIADÁSOK</v>
      </c>
      <c r="B31" s="226"/>
    </row>
    <row r="32" spans="1:2" x14ac:dyDescent="0.2">
      <c r="A32" s="222"/>
      <c r="B32" s="222"/>
    </row>
    <row r="33" spans="1:2" x14ac:dyDescent="0.2">
      <c r="A33" s="222" t="s">
        <v>425</v>
      </c>
      <c r="B33" s="222" t="s">
        <v>395</v>
      </c>
    </row>
    <row r="34" spans="1:2" x14ac:dyDescent="0.2">
      <c r="A34" s="222" t="s">
        <v>426</v>
      </c>
      <c r="B34" s="222" t="s">
        <v>405</v>
      </c>
    </row>
    <row r="35" spans="1:2" x14ac:dyDescent="0.2">
      <c r="A35" s="222" t="s">
        <v>427</v>
      </c>
      <c r="B35" s="222" t="s">
        <v>406</v>
      </c>
    </row>
    <row r="36" spans="1:2" x14ac:dyDescent="0.2">
      <c r="A36" s="222"/>
      <c r="B36" s="222"/>
    </row>
    <row r="37" spans="1:2" ht="15.75" x14ac:dyDescent="0.25">
      <c r="A37" s="228" t="str">
        <f>+CONCATENATE(LEFT(A6,4),".évi teljesített KIADÁSOK")</f>
        <v>2021.évi teljesített KIADÁSOK</v>
      </c>
      <c r="B37" s="226"/>
    </row>
    <row r="38" spans="1:2" x14ac:dyDescent="0.2">
      <c r="A38" s="222"/>
      <c r="B38" s="222"/>
    </row>
    <row r="39" spans="1:2" x14ac:dyDescent="0.2">
      <c r="A39" s="222" t="s">
        <v>428</v>
      </c>
      <c r="B39" s="222" t="s">
        <v>396</v>
      </c>
    </row>
    <row r="40" spans="1:2" x14ac:dyDescent="0.2">
      <c r="A40" s="222" t="s">
        <v>429</v>
      </c>
      <c r="B40" s="222" t="s">
        <v>407</v>
      </c>
    </row>
    <row r="41" spans="1:2" x14ac:dyDescent="0.2">
      <c r="A41" s="222" t="s">
        <v>430</v>
      </c>
      <c r="B41" s="222" t="s">
        <v>408</v>
      </c>
    </row>
  </sheetData>
  <phoneticPr fontId="35" type="noConversion"/>
  <pageMargins left="1.0629921259842521" right="1.0236220472440944" top="0.78740157480314965" bottom="0.78740157480314965" header="0.70866141732283472" footer="0.70866141732283472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8"/>
  <dimension ref="A2:C15"/>
  <sheetViews>
    <sheetView tabSelected="1" zoomScale="120" zoomScaleNormal="120" workbookViewId="0">
      <selection activeCell="B10" sqref="B10"/>
    </sheetView>
  </sheetViews>
  <sheetFormatPr defaultRowHeight="12.75" x14ac:dyDescent="0.2"/>
  <cols>
    <col min="1" max="1" width="7.6640625" style="23" customWidth="1"/>
    <col min="2" max="2" width="60.83203125" style="23" customWidth="1"/>
    <col min="3" max="3" width="25.6640625" style="23" customWidth="1"/>
    <col min="4" max="16384" width="9.33203125" style="23"/>
  </cols>
  <sheetData>
    <row r="2" spans="1:3" ht="15" x14ac:dyDescent="0.25">
      <c r="A2" s="1457" t="str">
        <f>CONCATENATE("26. melléklet, 9. tájékoztató tábla ",Z_ALAPADATOK!A7," ",Z_ALAPADATOK!B7," ",Z_ALAPADATOK!C7," ",Z_ALAPADATOK!D7," ",Z_ALAPADATOK!E7," ",Z_ALAPADATOK!F7," ",Z_ALAPADATOK!G7," ",Z_ALAPADATOK!H7)</f>
        <v>26. melléklet, 9. tájékoztató tábla a 12 / 2022. ( V.30. ) önkormányzati rendelethez</v>
      </c>
      <c r="B2" s="1502"/>
      <c r="C2" s="1502"/>
    </row>
    <row r="3" spans="1:3" ht="14.25" x14ac:dyDescent="0.2">
      <c r="A3" s="432"/>
      <c r="B3" s="432"/>
      <c r="C3" s="432"/>
    </row>
    <row r="4" spans="1:3" ht="33.75" customHeight="1" x14ac:dyDescent="0.2">
      <c r="A4" s="1501" t="s">
        <v>673</v>
      </c>
      <c r="B4" s="1501"/>
      <c r="C4" s="1501"/>
    </row>
    <row r="5" spans="1:3" ht="13.5" thickBot="1" x14ac:dyDescent="0.25">
      <c r="C5" s="433"/>
    </row>
    <row r="6" spans="1:3" s="437" customFormat="1" ht="43.5" customHeight="1" thickBot="1" x14ac:dyDescent="0.25">
      <c r="A6" s="434" t="s">
        <v>4</v>
      </c>
      <c r="B6" s="435" t="s">
        <v>44</v>
      </c>
      <c r="C6" s="436" t="s">
        <v>674</v>
      </c>
    </row>
    <row r="7" spans="1:3" ht="28.5" customHeight="1" x14ac:dyDescent="0.2">
      <c r="A7" s="438" t="s">
        <v>6</v>
      </c>
      <c r="B7" s="439" t="str">
        <f>CONCATENATE("Pénzkészlet ",Z_ALAPADATOK!B1,". január 1-jén
Ebből:")</f>
        <v>Pénzkészlet 2021. január 1-jén
Ebből:</v>
      </c>
      <c r="C7" s="514">
        <f>SUM(C8:C9)</f>
        <v>915372014</v>
      </c>
    </row>
    <row r="8" spans="1:3" ht="18" customHeight="1" x14ac:dyDescent="0.2">
      <c r="A8" s="440" t="s">
        <v>7</v>
      </c>
      <c r="B8" s="441" t="s">
        <v>675</v>
      </c>
      <c r="C8" s="483">
        <v>914642059</v>
      </c>
    </row>
    <row r="9" spans="1:3" ht="18" customHeight="1" x14ac:dyDescent="0.2">
      <c r="A9" s="440" t="s">
        <v>8</v>
      </c>
      <c r="B9" s="441" t="s">
        <v>676</v>
      </c>
      <c r="C9" s="483">
        <v>729955</v>
      </c>
    </row>
    <row r="10" spans="1:3" ht="18" customHeight="1" x14ac:dyDescent="0.2">
      <c r="A10" s="440" t="s">
        <v>9</v>
      </c>
      <c r="B10" s="442" t="s">
        <v>677</v>
      </c>
      <c r="C10" s="483">
        <v>8103022937</v>
      </c>
    </row>
    <row r="11" spans="1:3" ht="18" customHeight="1" x14ac:dyDescent="0.2">
      <c r="A11" s="443" t="s">
        <v>10</v>
      </c>
      <c r="B11" s="444" t="s">
        <v>678</v>
      </c>
      <c r="C11" s="484">
        <v>-5661866102</v>
      </c>
    </row>
    <row r="12" spans="1:3" ht="18" customHeight="1" thickBot="1" x14ac:dyDescent="0.25">
      <c r="A12" s="445" t="s">
        <v>11</v>
      </c>
      <c r="B12" s="446" t="s">
        <v>679</v>
      </c>
      <c r="C12" s="485">
        <v>-897093517</v>
      </c>
    </row>
    <row r="13" spans="1:3" ht="25.5" customHeight="1" x14ac:dyDescent="0.2">
      <c r="A13" s="447" t="s">
        <v>12</v>
      </c>
      <c r="B13" s="448" t="str">
        <f>CONCATENATE("Pénzkészlet ",Z_ALAPADATOK!B1,". december 31-én
Ebből:")</f>
        <v>Pénzkészlet 2021. december 31-én
Ebből:</v>
      </c>
      <c r="C13" s="486">
        <f>C7+C10+C11+C12</f>
        <v>2459435332</v>
      </c>
    </row>
    <row r="14" spans="1:3" ht="18" customHeight="1" x14ac:dyDescent="0.2">
      <c r="A14" s="440" t="s">
        <v>13</v>
      </c>
      <c r="B14" s="441" t="s">
        <v>675</v>
      </c>
      <c r="C14" s="483">
        <v>2458488532</v>
      </c>
    </row>
    <row r="15" spans="1:3" ht="18" customHeight="1" thickBot="1" x14ac:dyDescent="0.25">
      <c r="A15" s="445" t="s">
        <v>14</v>
      </c>
      <c r="B15" s="449" t="s">
        <v>676</v>
      </c>
      <c r="C15" s="485">
        <v>946800</v>
      </c>
    </row>
  </sheetData>
  <mergeCells count="2">
    <mergeCell ref="A4:C4"/>
    <mergeCell ref="A2:C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T166"/>
  <sheetViews>
    <sheetView zoomScale="120" zoomScaleNormal="120" zoomScaleSheetLayoutView="100" workbookViewId="0">
      <selection activeCell="A2" sqref="A2:E2"/>
    </sheetView>
  </sheetViews>
  <sheetFormatPr defaultRowHeight="15.75" x14ac:dyDescent="0.25"/>
  <cols>
    <col min="1" max="1" width="9.5" style="131" customWidth="1"/>
    <col min="2" max="2" width="65.83203125" style="131" customWidth="1"/>
    <col min="3" max="3" width="17.83203125" style="132" customWidth="1"/>
    <col min="4" max="5" width="17.83203125" style="149" customWidth="1"/>
    <col min="6" max="17" width="17.83203125" style="149" hidden="1" customWidth="1"/>
    <col min="18" max="18" width="14.83203125" style="149" bestFit="1" customWidth="1"/>
    <col min="19" max="20" width="11.1640625" style="149" bestFit="1" customWidth="1"/>
    <col min="21" max="16384" width="9.33203125" style="149"/>
  </cols>
  <sheetData>
    <row r="1" spans="1:18" x14ac:dyDescent="0.25">
      <c r="A1" s="253"/>
      <c r="B1" s="1314" t="str">
        <f>CONCATENATE("1. melléklet ",Z_ALAPADATOK!A7," ",Z_ALAPADATOK!B7," ",Z_ALAPADATOK!C7," ",Z_ALAPADATOK!D7," ",Z_ALAPADATOK!E7," ",Z_ALAPADATOK!F7," ",Z_ALAPADATOK!G7," ",Z_ALAPADATOK!H7)</f>
        <v>1. melléklet a 12 / 2022. ( V.30. ) önkormányzati rendelethez</v>
      </c>
      <c r="C1" s="1315"/>
      <c r="D1" s="1315"/>
      <c r="E1" s="1315"/>
    </row>
    <row r="2" spans="1:18" x14ac:dyDescent="0.25">
      <c r="A2" s="1316" t="str">
        <f>CONCATENATE(Z_ALAPADATOK!A3)</f>
        <v>Tiszavasvári Város Önkormányzata</v>
      </c>
      <c r="B2" s="1317"/>
      <c r="C2" s="1317"/>
      <c r="D2" s="1317"/>
      <c r="E2" s="1317"/>
    </row>
    <row r="3" spans="1:18" x14ac:dyDescent="0.25">
      <c r="A3" s="1316" t="str">
        <f>CONCATENATE(Z_ALAPADATOK!B1,". évi ZÁRSZÁMADÁSÁNAK PÉNZÜGYI MÉRLEGE")</f>
        <v>2021. évi ZÁRSZÁMADÁSÁNAK PÉNZÜGYI MÉRLEGE</v>
      </c>
      <c r="B3" s="1316"/>
      <c r="C3" s="1318"/>
      <c r="D3" s="1316"/>
      <c r="E3" s="1316"/>
    </row>
    <row r="4" spans="1:18" ht="12" customHeight="1" x14ac:dyDescent="0.25">
      <c r="A4" s="1316"/>
      <c r="B4" s="1316"/>
      <c r="C4" s="1318"/>
      <c r="D4" s="1316"/>
      <c r="E4" s="1316"/>
    </row>
    <row r="5" spans="1:18" x14ac:dyDescent="0.25">
      <c r="A5" s="253"/>
      <c r="B5" s="253"/>
      <c r="C5" s="254"/>
      <c r="D5" s="255"/>
      <c r="E5" s="255"/>
    </row>
    <row r="6" spans="1:18" ht="15.95" customHeight="1" x14ac:dyDescent="0.25">
      <c r="A6" s="1331" t="s">
        <v>3</v>
      </c>
      <c r="B6" s="1331"/>
      <c r="C6" s="1331"/>
      <c r="D6" s="1331"/>
      <c r="E6" s="1331"/>
    </row>
    <row r="7" spans="1:18" ht="15.95" customHeight="1" thickBot="1" x14ac:dyDescent="0.3">
      <c r="A7" s="1333" t="s">
        <v>87</v>
      </c>
      <c r="B7" s="1333"/>
      <c r="C7" s="256"/>
      <c r="D7" s="255"/>
      <c r="E7" s="256" t="s">
        <v>439</v>
      </c>
    </row>
    <row r="8" spans="1:18" ht="15.75" customHeight="1" x14ac:dyDescent="0.25">
      <c r="A8" s="1320" t="s">
        <v>51</v>
      </c>
      <c r="B8" s="1322" t="s">
        <v>5</v>
      </c>
      <c r="C8" s="1324" t="s">
        <v>889</v>
      </c>
      <c r="D8" s="1325"/>
      <c r="E8" s="1326"/>
      <c r="F8" s="1309" t="s">
        <v>782</v>
      </c>
      <c r="G8" s="1309"/>
      <c r="H8" s="1312"/>
      <c r="I8" s="1308" t="s">
        <v>788</v>
      </c>
      <c r="J8" s="1309"/>
      <c r="K8" s="1312"/>
      <c r="L8" s="1308" t="s">
        <v>789</v>
      </c>
      <c r="M8" s="1309"/>
      <c r="N8" s="1309"/>
      <c r="O8" s="1308" t="s">
        <v>799</v>
      </c>
      <c r="P8" s="1309"/>
      <c r="Q8" s="1309"/>
    </row>
    <row r="9" spans="1:18" ht="24.75" thickBot="1" x14ac:dyDescent="0.3">
      <c r="A9" s="1321"/>
      <c r="B9" s="1323"/>
      <c r="C9" s="200" t="s">
        <v>384</v>
      </c>
      <c r="D9" s="805" t="s">
        <v>385</v>
      </c>
      <c r="E9" s="246" t="s">
        <v>890</v>
      </c>
      <c r="F9" s="200" t="s">
        <v>384</v>
      </c>
      <c r="G9" s="199" t="s">
        <v>385</v>
      </c>
      <c r="H9" s="246" t="str">
        <f>E9</f>
        <v>2021. XII. 31.
teljesítés</v>
      </c>
      <c r="I9" s="200" t="s">
        <v>384</v>
      </c>
      <c r="J9" s="199" t="s">
        <v>385</v>
      </c>
      <c r="K9" s="246" t="str">
        <f>E9</f>
        <v>2021. XII. 31.
teljesítés</v>
      </c>
      <c r="L9" s="200" t="s">
        <v>384</v>
      </c>
      <c r="M9" s="199" t="s">
        <v>385</v>
      </c>
      <c r="N9" s="246" t="str">
        <f>E9</f>
        <v>2021. XII. 31.
teljesítés</v>
      </c>
      <c r="O9" s="200" t="s">
        <v>384</v>
      </c>
      <c r="P9" s="535" t="s">
        <v>385</v>
      </c>
      <c r="Q9" s="246" t="str">
        <f>H9</f>
        <v>2021. XII. 31.
teljesítés</v>
      </c>
    </row>
    <row r="10" spans="1:18" s="150" customFormat="1" ht="12" customHeight="1" thickBot="1" x14ac:dyDescent="0.25">
      <c r="A10" s="878" t="s">
        <v>354</v>
      </c>
      <c r="B10" s="879" t="s">
        <v>355</v>
      </c>
      <c r="C10" s="879" t="s">
        <v>356</v>
      </c>
      <c r="D10" s="879" t="s">
        <v>358</v>
      </c>
      <c r="E10" s="201" t="s">
        <v>357</v>
      </c>
      <c r="F10" s="201" t="s">
        <v>357</v>
      </c>
      <c r="G10" s="201" t="s">
        <v>357</v>
      </c>
      <c r="H10" s="201" t="s">
        <v>357</v>
      </c>
      <c r="I10" s="201" t="s">
        <v>357</v>
      </c>
      <c r="J10" s="201" t="s">
        <v>357</v>
      </c>
      <c r="K10" s="201" t="s">
        <v>357</v>
      </c>
      <c r="L10" s="201" t="s">
        <v>357</v>
      </c>
      <c r="M10" s="201" t="s">
        <v>357</v>
      </c>
      <c r="N10" s="201" t="s">
        <v>357</v>
      </c>
      <c r="O10" s="201" t="s">
        <v>357</v>
      </c>
      <c r="P10" s="201" t="s">
        <v>357</v>
      </c>
      <c r="Q10" s="201" t="s">
        <v>357</v>
      </c>
    </row>
    <row r="11" spans="1:18" s="151" customFormat="1" ht="12" customHeight="1" thickBot="1" x14ac:dyDescent="0.25">
      <c r="A11" s="851" t="s">
        <v>6</v>
      </c>
      <c r="B11" s="852" t="s">
        <v>147</v>
      </c>
      <c r="C11" s="907">
        <f t="shared" ref="C11:E11" si="0">C12+C13+C14+C17+C18+C19</f>
        <v>1586722929</v>
      </c>
      <c r="D11" s="907">
        <f t="shared" si="0"/>
        <v>1634262294</v>
      </c>
      <c r="E11" s="870">
        <f t="shared" si="0"/>
        <v>1521550457</v>
      </c>
      <c r="F11" s="203">
        <f>F12+F13+F14+F17+F18+F19</f>
        <v>1391839274</v>
      </c>
      <c r="G11" s="140">
        <f t="shared" ref="G11:H11" si="1">G12+G13+G14+G17+G18+G19</f>
        <v>1383553446</v>
      </c>
      <c r="H11" s="140">
        <f t="shared" si="1"/>
        <v>1383953547</v>
      </c>
      <c r="I11" s="84">
        <f t="shared" ref="I11:N11" si="2">+I12+I13+I14+I17+I18+I19</f>
        <v>0</v>
      </c>
      <c r="J11" s="84">
        <f t="shared" si="2"/>
        <v>0</v>
      </c>
      <c r="K11" s="84">
        <f t="shared" si="2"/>
        <v>0</v>
      </c>
      <c r="L11" s="84">
        <f t="shared" si="2"/>
        <v>0</v>
      </c>
      <c r="M11" s="84">
        <f t="shared" si="2"/>
        <v>0</v>
      </c>
      <c r="N11" s="84">
        <f t="shared" si="2"/>
        <v>0</v>
      </c>
      <c r="O11" s="84">
        <f>C11-F11-I11-L11</f>
        <v>194883655</v>
      </c>
      <c r="P11" s="84">
        <f t="shared" ref="P11:P73" si="3">D11-G11-J11-M11</f>
        <v>250708848</v>
      </c>
      <c r="Q11" s="84">
        <f t="shared" ref="Q11:Q73" si="4">E11-H11-K11-N11</f>
        <v>137596910</v>
      </c>
      <c r="R11" s="1166"/>
    </row>
    <row r="12" spans="1:18" s="151" customFormat="1" ht="12" customHeight="1" x14ac:dyDescent="0.2">
      <c r="A12" s="846" t="s">
        <v>63</v>
      </c>
      <c r="B12" s="881" t="s">
        <v>148</v>
      </c>
      <c r="C12" s="822">
        <v>295696597</v>
      </c>
      <c r="D12" s="204">
        <v>296190577</v>
      </c>
      <c r="E12" s="900">
        <v>296190577</v>
      </c>
      <c r="F12" s="204">
        <v>229318994</v>
      </c>
      <c r="G12" s="204">
        <v>256986904</v>
      </c>
      <c r="H12" s="86">
        <v>256986904</v>
      </c>
      <c r="I12" s="86"/>
      <c r="J12" s="86"/>
      <c r="K12" s="86"/>
      <c r="L12" s="86"/>
      <c r="M12" s="86"/>
      <c r="N12" s="86"/>
      <c r="O12" s="86">
        <f t="shared" ref="O12:O74" si="5">C12-F12-I12-L12</f>
        <v>66377603</v>
      </c>
      <c r="P12" s="86">
        <f t="shared" si="3"/>
        <v>39203673</v>
      </c>
      <c r="Q12" s="86">
        <f t="shared" si="4"/>
        <v>39203673</v>
      </c>
      <c r="R12" s="1166"/>
    </row>
    <row r="13" spans="1:18" s="151" customFormat="1" ht="12" customHeight="1" x14ac:dyDescent="0.2">
      <c r="A13" s="845" t="s">
        <v>64</v>
      </c>
      <c r="B13" s="882" t="s">
        <v>149</v>
      </c>
      <c r="C13" s="829">
        <v>254023920</v>
      </c>
      <c r="D13" s="205">
        <v>262755080</v>
      </c>
      <c r="E13" s="863">
        <v>262755080</v>
      </c>
      <c r="F13" s="205">
        <v>229603230</v>
      </c>
      <c r="G13" s="205">
        <v>250568625</v>
      </c>
      <c r="H13" s="85">
        <v>250568625</v>
      </c>
      <c r="I13" s="85"/>
      <c r="J13" s="85"/>
      <c r="K13" s="85"/>
      <c r="L13" s="85"/>
      <c r="M13" s="85"/>
      <c r="N13" s="85"/>
      <c r="O13" s="85">
        <f t="shared" si="5"/>
        <v>24420690</v>
      </c>
      <c r="P13" s="85">
        <f t="shared" si="3"/>
        <v>12186455</v>
      </c>
      <c r="Q13" s="85">
        <f t="shared" si="4"/>
        <v>12186455</v>
      </c>
      <c r="R13" s="1166"/>
    </row>
    <row r="14" spans="1:18" s="151" customFormat="1" ht="12" customHeight="1" x14ac:dyDescent="0.2">
      <c r="A14" s="845" t="s">
        <v>65</v>
      </c>
      <c r="B14" s="882" t="s">
        <v>787</v>
      </c>
      <c r="C14" s="829">
        <v>761734873</v>
      </c>
      <c r="D14" s="205">
        <v>828956137</v>
      </c>
      <c r="E14" s="871">
        <f t="shared" ref="E14" si="6">SUM(E15:E16)</f>
        <v>828956137</v>
      </c>
      <c r="F14" s="205">
        <f>SUM(F15:F16)</f>
        <v>751998665</v>
      </c>
      <c r="G14" s="141">
        <f t="shared" ref="G14:H14" si="7">SUM(G15:G16)</f>
        <v>793973650</v>
      </c>
      <c r="H14" s="141">
        <f t="shared" si="7"/>
        <v>793973650</v>
      </c>
      <c r="I14" s="141">
        <f t="shared" ref="I14:N14" si="8">SUM(I15:I16)</f>
        <v>0</v>
      </c>
      <c r="J14" s="141">
        <f t="shared" si="8"/>
        <v>0</v>
      </c>
      <c r="K14" s="141">
        <f t="shared" si="8"/>
        <v>0</v>
      </c>
      <c r="L14" s="141">
        <f t="shared" si="8"/>
        <v>0</v>
      </c>
      <c r="M14" s="141">
        <f t="shared" si="8"/>
        <v>0</v>
      </c>
      <c r="N14" s="141">
        <f t="shared" si="8"/>
        <v>0</v>
      </c>
      <c r="O14" s="141">
        <f t="shared" si="5"/>
        <v>9736208</v>
      </c>
      <c r="P14" s="141">
        <f t="shared" si="3"/>
        <v>34982487</v>
      </c>
      <c r="Q14" s="141">
        <f t="shared" si="4"/>
        <v>34982487</v>
      </c>
      <c r="R14" s="1166"/>
    </row>
    <row r="15" spans="1:18" s="151" customFormat="1" ht="24" customHeight="1" x14ac:dyDescent="0.2">
      <c r="A15" s="845" t="s">
        <v>783</v>
      </c>
      <c r="B15" s="882" t="s">
        <v>785</v>
      </c>
      <c r="C15" s="829">
        <v>635476079</v>
      </c>
      <c r="D15" s="205">
        <v>640407443</v>
      </c>
      <c r="E15" s="863">
        <v>640407443</v>
      </c>
      <c r="F15" s="205">
        <v>565871103</v>
      </c>
      <c r="G15" s="205">
        <v>616722342</v>
      </c>
      <c r="H15" s="85">
        <v>616722342</v>
      </c>
      <c r="I15" s="85"/>
      <c r="J15" s="85"/>
      <c r="K15" s="85"/>
      <c r="L15" s="85"/>
      <c r="M15" s="85"/>
      <c r="N15" s="85"/>
      <c r="O15" s="85">
        <f t="shared" si="5"/>
        <v>69604976</v>
      </c>
      <c r="P15" s="85">
        <f t="shared" si="3"/>
        <v>23685101</v>
      </c>
      <c r="Q15" s="85">
        <f t="shared" si="4"/>
        <v>23685101</v>
      </c>
      <c r="R15" s="1166"/>
    </row>
    <row r="16" spans="1:18" s="151" customFormat="1" ht="12" customHeight="1" x14ac:dyDescent="0.2">
      <c r="A16" s="845" t="s">
        <v>784</v>
      </c>
      <c r="B16" s="882" t="s">
        <v>786</v>
      </c>
      <c r="C16" s="829">
        <v>126258794</v>
      </c>
      <c r="D16" s="205">
        <v>188548694</v>
      </c>
      <c r="E16" s="863">
        <v>188548694</v>
      </c>
      <c r="F16" s="205">
        <v>186127562</v>
      </c>
      <c r="G16" s="205">
        <v>177251308</v>
      </c>
      <c r="H16" s="85">
        <v>177251308</v>
      </c>
      <c r="I16" s="85"/>
      <c r="J16" s="85"/>
      <c r="K16" s="85"/>
      <c r="L16" s="85"/>
      <c r="M16" s="85"/>
      <c r="N16" s="85"/>
      <c r="O16" s="85">
        <f t="shared" si="5"/>
        <v>-59868768</v>
      </c>
      <c r="P16" s="85">
        <f t="shared" si="3"/>
        <v>11297386</v>
      </c>
      <c r="Q16" s="85">
        <f t="shared" si="4"/>
        <v>11297386</v>
      </c>
      <c r="R16" s="1166"/>
    </row>
    <row r="17" spans="1:18" s="151" customFormat="1" ht="12" customHeight="1" x14ac:dyDescent="0.2">
      <c r="A17" s="845" t="s">
        <v>66</v>
      </c>
      <c r="B17" s="882" t="s">
        <v>150</v>
      </c>
      <c r="C17" s="829">
        <v>40888120</v>
      </c>
      <c r="D17" s="205">
        <v>42308416</v>
      </c>
      <c r="E17" s="863">
        <v>42308416</v>
      </c>
      <c r="F17" s="205">
        <v>20802409</v>
      </c>
      <c r="G17" s="205">
        <v>38970172</v>
      </c>
      <c r="H17" s="85">
        <v>38970172</v>
      </c>
      <c r="I17" s="85"/>
      <c r="J17" s="85"/>
      <c r="K17" s="85"/>
      <c r="L17" s="85"/>
      <c r="M17" s="85"/>
      <c r="N17" s="85"/>
      <c r="O17" s="85">
        <f t="shared" si="5"/>
        <v>20085711</v>
      </c>
      <c r="P17" s="85">
        <f t="shared" si="3"/>
        <v>3338244</v>
      </c>
      <c r="Q17" s="85">
        <f t="shared" si="4"/>
        <v>3338244</v>
      </c>
      <c r="R17" s="1166"/>
    </row>
    <row r="18" spans="1:18" s="151" customFormat="1" ht="12" customHeight="1" x14ac:dyDescent="0.2">
      <c r="A18" s="845" t="s">
        <v>84</v>
      </c>
      <c r="B18" s="866" t="s">
        <v>306</v>
      </c>
      <c r="C18" s="829">
        <v>234379419</v>
      </c>
      <c r="D18" s="205">
        <v>202586020</v>
      </c>
      <c r="E18" s="863">
        <v>89874183</v>
      </c>
      <c r="F18" s="205">
        <v>160115976</v>
      </c>
      <c r="G18" s="205">
        <v>43054095</v>
      </c>
      <c r="H18" s="85">
        <v>43054095</v>
      </c>
      <c r="I18" s="85"/>
      <c r="J18" s="85"/>
      <c r="K18" s="85"/>
      <c r="L18" s="85"/>
      <c r="M18" s="85"/>
      <c r="N18" s="85"/>
      <c r="O18" s="85">
        <f t="shared" si="5"/>
        <v>74263443</v>
      </c>
      <c r="P18" s="85">
        <f t="shared" si="3"/>
        <v>159531925</v>
      </c>
      <c r="Q18" s="85">
        <f t="shared" si="4"/>
        <v>46820088</v>
      </c>
      <c r="R18" s="1166"/>
    </row>
    <row r="19" spans="1:18" s="151" customFormat="1" ht="12" customHeight="1" thickBot="1" x14ac:dyDescent="0.25">
      <c r="A19" s="847" t="s">
        <v>67</v>
      </c>
      <c r="B19" s="867" t="s">
        <v>307</v>
      </c>
      <c r="C19" s="195">
        <v>0</v>
      </c>
      <c r="D19" s="205">
        <v>1466064</v>
      </c>
      <c r="E19" s="863">
        <v>1466064</v>
      </c>
      <c r="F19" s="205">
        <v>0</v>
      </c>
      <c r="G19" s="205">
        <v>0</v>
      </c>
      <c r="H19" s="85">
        <v>400101</v>
      </c>
      <c r="I19" s="85"/>
      <c r="J19" s="85"/>
      <c r="K19" s="85"/>
      <c r="L19" s="85"/>
      <c r="M19" s="85"/>
      <c r="N19" s="85"/>
      <c r="O19" s="85">
        <f t="shared" si="5"/>
        <v>0</v>
      </c>
      <c r="P19" s="85">
        <f t="shared" si="3"/>
        <v>1466064</v>
      </c>
      <c r="Q19" s="85">
        <f t="shared" si="4"/>
        <v>1065963</v>
      </c>
      <c r="R19" s="1166"/>
    </row>
    <row r="20" spans="1:18" s="151" customFormat="1" ht="12" customHeight="1" thickBot="1" x14ac:dyDescent="0.25">
      <c r="A20" s="851" t="s">
        <v>7</v>
      </c>
      <c r="B20" s="865" t="s">
        <v>151</v>
      </c>
      <c r="C20" s="907">
        <f t="shared" ref="C20:E20" si="9">+C21+C22+C23+C24+C25</f>
        <v>355607178</v>
      </c>
      <c r="D20" s="907">
        <f t="shared" si="9"/>
        <v>407991699</v>
      </c>
      <c r="E20" s="870">
        <f t="shared" si="9"/>
        <v>349477031</v>
      </c>
      <c r="F20" s="203">
        <f>+F21+F22+F23+F24+F25</f>
        <v>232919558</v>
      </c>
      <c r="G20" s="203">
        <f>+G21+G22+G23+G24+G25</f>
        <v>226388565</v>
      </c>
      <c r="H20" s="84">
        <f>+H21+H22+H23+H24+H25</f>
        <v>179323755</v>
      </c>
      <c r="I20" s="84">
        <f t="shared" ref="I20:K20" si="10">+I21+I22+I23+I24+I25</f>
        <v>0</v>
      </c>
      <c r="J20" s="84">
        <f t="shared" si="10"/>
        <v>0</v>
      </c>
      <c r="K20" s="84">
        <f t="shared" si="10"/>
        <v>0</v>
      </c>
      <c r="L20" s="678">
        <v>107694129</v>
      </c>
      <c r="M20" s="678">
        <v>115135208</v>
      </c>
      <c r="N20" s="678">
        <v>39421405</v>
      </c>
      <c r="O20" s="84">
        <f t="shared" si="5"/>
        <v>14993491</v>
      </c>
      <c r="P20" s="84">
        <f t="shared" si="3"/>
        <v>66467926</v>
      </c>
      <c r="Q20" s="84">
        <f t="shared" si="4"/>
        <v>130731871</v>
      </c>
      <c r="R20" s="1166"/>
    </row>
    <row r="21" spans="1:18" s="151" customFormat="1" ht="12" customHeight="1" x14ac:dyDescent="0.2">
      <c r="A21" s="846" t="s">
        <v>69</v>
      </c>
      <c r="B21" s="881" t="s">
        <v>152</v>
      </c>
      <c r="C21" s="905"/>
      <c r="D21" s="905"/>
      <c r="E21" s="900">
        <v>14122</v>
      </c>
      <c r="F21" s="204"/>
      <c r="G21" s="204"/>
      <c r="H21" s="86"/>
      <c r="I21" s="86"/>
      <c r="J21" s="86"/>
      <c r="K21" s="86"/>
      <c r="L21" s="680"/>
      <c r="M21" s="680"/>
      <c r="N21" s="680"/>
      <c r="O21" s="86">
        <f t="shared" si="5"/>
        <v>0</v>
      </c>
      <c r="P21" s="86">
        <f t="shared" si="3"/>
        <v>0</v>
      </c>
      <c r="Q21" s="86">
        <f t="shared" si="4"/>
        <v>14122</v>
      </c>
      <c r="R21" s="1166"/>
    </row>
    <row r="22" spans="1:18" s="151" customFormat="1" ht="12" customHeight="1" x14ac:dyDescent="0.2">
      <c r="A22" s="845" t="s">
        <v>70</v>
      </c>
      <c r="B22" s="882" t="s">
        <v>153</v>
      </c>
      <c r="C22" s="906"/>
      <c r="D22" s="906"/>
      <c r="E22" s="863"/>
      <c r="F22" s="205"/>
      <c r="G22" s="205"/>
      <c r="H22" s="85"/>
      <c r="I22" s="85"/>
      <c r="J22" s="85"/>
      <c r="K22" s="85"/>
      <c r="L22" s="679"/>
      <c r="M22" s="679"/>
      <c r="N22" s="679"/>
      <c r="O22" s="85">
        <f t="shared" si="5"/>
        <v>0</v>
      </c>
      <c r="P22" s="85">
        <f t="shared" si="3"/>
        <v>0</v>
      </c>
      <c r="Q22" s="85">
        <f t="shared" si="4"/>
        <v>0</v>
      </c>
      <c r="R22" s="1166"/>
    </row>
    <row r="23" spans="1:18" s="151" customFormat="1" ht="12" customHeight="1" x14ac:dyDescent="0.2">
      <c r="A23" s="845" t="s">
        <v>71</v>
      </c>
      <c r="B23" s="882" t="s">
        <v>298</v>
      </c>
      <c r="C23" s="906"/>
      <c r="D23" s="906"/>
      <c r="E23" s="863"/>
      <c r="F23" s="205"/>
      <c r="G23" s="205"/>
      <c r="H23" s="85"/>
      <c r="I23" s="85"/>
      <c r="J23" s="85"/>
      <c r="K23" s="85"/>
      <c r="L23" s="679"/>
      <c r="M23" s="679"/>
      <c r="N23" s="679"/>
      <c r="O23" s="85">
        <f t="shared" si="5"/>
        <v>0</v>
      </c>
      <c r="P23" s="85">
        <f t="shared" si="3"/>
        <v>0</v>
      </c>
      <c r="Q23" s="85">
        <f t="shared" si="4"/>
        <v>0</v>
      </c>
      <c r="R23" s="1166"/>
    </row>
    <row r="24" spans="1:18" s="151" customFormat="1" ht="12" customHeight="1" x14ac:dyDescent="0.2">
      <c r="A24" s="845" t="s">
        <v>72</v>
      </c>
      <c r="B24" s="882" t="s">
        <v>299</v>
      </c>
      <c r="C24" s="906"/>
      <c r="D24" s="906"/>
      <c r="E24" s="863"/>
      <c r="F24" s="205"/>
      <c r="G24" s="205"/>
      <c r="H24" s="85"/>
      <c r="I24" s="85"/>
      <c r="J24" s="85"/>
      <c r="K24" s="85"/>
      <c r="L24" s="679"/>
      <c r="M24" s="679"/>
      <c r="N24" s="679"/>
      <c r="O24" s="85">
        <f t="shared" si="5"/>
        <v>0</v>
      </c>
      <c r="P24" s="85">
        <f t="shared" si="3"/>
        <v>0</v>
      </c>
      <c r="Q24" s="85">
        <f t="shared" si="4"/>
        <v>0</v>
      </c>
      <c r="R24" s="1166"/>
    </row>
    <row r="25" spans="1:18" s="151" customFormat="1" ht="12" customHeight="1" x14ac:dyDescent="0.2">
      <c r="A25" s="845" t="s">
        <v>73</v>
      </c>
      <c r="B25" s="882" t="s">
        <v>154</v>
      </c>
      <c r="C25" s="829">
        <v>355607178</v>
      </c>
      <c r="D25" s="205">
        <v>407991699</v>
      </c>
      <c r="E25" s="863">
        <v>349462909</v>
      </c>
      <c r="F25" s="205">
        <v>232919558</v>
      </c>
      <c r="G25" s="205">
        <v>226388565</v>
      </c>
      <c r="H25" s="85">
        <v>179323755</v>
      </c>
      <c r="I25" s="85"/>
      <c r="J25" s="85"/>
      <c r="K25" s="85"/>
      <c r="L25" s="679">
        <v>107694129</v>
      </c>
      <c r="M25" s="679">
        <v>115135208</v>
      </c>
      <c r="N25" s="679">
        <v>39421405</v>
      </c>
      <c r="O25" s="85">
        <f t="shared" si="5"/>
        <v>14993491</v>
      </c>
      <c r="P25" s="85">
        <f t="shared" si="3"/>
        <v>66467926</v>
      </c>
      <c r="Q25" s="85">
        <f t="shared" si="4"/>
        <v>130717749</v>
      </c>
      <c r="R25" s="1166"/>
    </row>
    <row r="26" spans="1:18" s="151" customFormat="1" ht="12" customHeight="1" thickBot="1" x14ac:dyDescent="0.25">
      <c r="A26" s="847" t="s">
        <v>79</v>
      </c>
      <c r="B26" s="867" t="s">
        <v>155</v>
      </c>
      <c r="C26" s="812">
        <v>131495850</v>
      </c>
      <c r="D26" s="206">
        <v>131495850</v>
      </c>
      <c r="E26" s="864">
        <v>100718749</v>
      </c>
      <c r="F26" s="206">
        <v>115326890</v>
      </c>
      <c r="G26" s="206">
        <v>104828175</v>
      </c>
      <c r="H26" s="87">
        <v>58333373</v>
      </c>
      <c r="I26" s="87"/>
      <c r="J26" s="87"/>
      <c r="K26" s="87"/>
      <c r="L26" s="681">
        <f>89882270+358859</f>
        <v>90241129</v>
      </c>
      <c r="M26" s="681">
        <v>95994034</v>
      </c>
      <c r="N26" s="681">
        <v>18347105</v>
      </c>
      <c r="O26" s="87">
        <f t="shared" si="5"/>
        <v>-74072169</v>
      </c>
      <c r="P26" s="87">
        <f t="shared" si="3"/>
        <v>-69326359</v>
      </c>
      <c r="Q26" s="87">
        <f t="shared" si="4"/>
        <v>24038271</v>
      </c>
      <c r="R26" s="1166"/>
    </row>
    <row r="27" spans="1:18" s="151" customFormat="1" ht="12" customHeight="1" thickBot="1" x14ac:dyDescent="0.25">
      <c r="A27" s="851" t="s">
        <v>8</v>
      </c>
      <c r="B27" s="852" t="s">
        <v>156</v>
      </c>
      <c r="C27" s="907">
        <f t="shared" ref="C27:E27" si="11">+C28+C29+C30+C31+C32</f>
        <v>189408354</v>
      </c>
      <c r="D27" s="907">
        <f t="shared" si="11"/>
        <v>2069703421</v>
      </c>
      <c r="E27" s="870">
        <f t="shared" si="11"/>
        <v>2057307126</v>
      </c>
      <c r="F27" s="203">
        <f>+F28+F29+F30+F31+F32</f>
        <v>36977634</v>
      </c>
      <c r="G27" s="203">
        <f>+G28+G29+G30+G31+G32</f>
        <v>396152816</v>
      </c>
      <c r="H27" s="84">
        <f>+H28+H29+H30+H31+H32</f>
        <v>273755493</v>
      </c>
      <c r="I27" s="84">
        <f t="shared" ref="I27:K27" si="12">+I28+I29+I30+I31+I32</f>
        <v>0</v>
      </c>
      <c r="J27" s="84">
        <f t="shared" si="12"/>
        <v>0</v>
      </c>
      <c r="K27" s="84">
        <f t="shared" si="12"/>
        <v>0</v>
      </c>
      <c r="L27" s="678">
        <v>10712200</v>
      </c>
      <c r="M27" s="678">
        <v>11063630</v>
      </c>
      <c r="N27" s="678">
        <v>9640687</v>
      </c>
      <c r="O27" s="84">
        <f t="shared" si="5"/>
        <v>141718520</v>
      </c>
      <c r="P27" s="84">
        <f t="shared" si="3"/>
        <v>1662486975</v>
      </c>
      <c r="Q27" s="84">
        <f t="shared" si="4"/>
        <v>1773910946</v>
      </c>
      <c r="R27" s="1166"/>
    </row>
    <row r="28" spans="1:18" s="151" customFormat="1" ht="12" customHeight="1" x14ac:dyDescent="0.2">
      <c r="A28" s="846" t="s">
        <v>52</v>
      </c>
      <c r="B28" s="881" t="s">
        <v>157</v>
      </c>
      <c r="C28" s="905">
        <v>0</v>
      </c>
      <c r="D28" s="905">
        <v>1318500100</v>
      </c>
      <c r="E28" s="900">
        <v>1315000000</v>
      </c>
      <c r="F28" s="204">
        <v>0</v>
      </c>
      <c r="G28" s="204">
        <v>34619116</v>
      </c>
      <c r="H28" s="86">
        <v>34619116</v>
      </c>
      <c r="I28" s="86"/>
      <c r="J28" s="86"/>
      <c r="K28" s="86"/>
      <c r="L28" s="680"/>
      <c r="M28" s="680"/>
      <c r="N28" s="680"/>
      <c r="O28" s="86">
        <f t="shared" si="5"/>
        <v>0</v>
      </c>
      <c r="P28" s="86">
        <f t="shared" si="3"/>
        <v>1283880984</v>
      </c>
      <c r="Q28" s="86">
        <f t="shared" si="4"/>
        <v>1280380884</v>
      </c>
      <c r="R28" s="1166"/>
    </row>
    <row r="29" spans="1:18" s="151" customFormat="1" ht="12" customHeight="1" x14ac:dyDescent="0.2">
      <c r="A29" s="845" t="s">
        <v>53</v>
      </c>
      <c r="B29" s="882" t="s">
        <v>158</v>
      </c>
      <c r="C29" s="906"/>
      <c r="D29" s="906"/>
      <c r="E29" s="863"/>
      <c r="F29" s="205"/>
      <c r="G29" s="205"/>
      <c r="H29" s="85"/>
      <c r="I29" s="85"/>
      <c r="J29" s="85"/>
      <c r="K29" s="85"/>
      <c r="L29" s="679"/>
      <c r="M29" s="679"/>
      <c r="N29" s="679"/>
      <c r="O29" s="85">
        <f t="shared" si="5"/>
        <v>0</v>
      </c>
      <c r="P29" s="85">
        <f t="shared" si="3"/>
        <v>0</v>
      </c>
      <c r="Q29" s="85">
        <f t="shared" si="4"/>
        <v>0</v>
      </c>
      <c r="R29" s="1166"/>
    </row>
    <row r="30" spans="1:18" s="151" customFormat="1" ht="12" customHeight="1" x14ac:dyDescent="0.2">
      <c r="A30" s="845" t="s">
        <v>54</v>
      </c>
      <c r="B30" s="882" t="s">
        <v>300</v>
      </c>
      <c r="C30" s="906"/>
      <c r="D30" s="906"/>
      <c r="E30" s="863"/>
      <c r="F30" s="205"/>
      <c r="G30" s="205"/>
      <c r="H30" s="85"/>
      <c r="I30" s="85"/>
      <c r="J30" s="85"/>
      <c r="K30" s="85"/>
      <c r="L30" s="679"/>
      <c r="M30" s="679"/>
      <c r="N30" s="679"/>
      <c r="O30" s="85">
        <f t="shared" si="5"/>
        <v>0</v>
      </c>
      <c r="P30" s="85">
        <f t="shared" si="3"/>
        <v>0</v>
      </c>
      <c r="Q30" s="85">
        <f t="shared" si="4"/>
        <v>0</v>
      </c>
      <c r="R30" s="1166"/>
    </row>
    <row r="31" spans="1:18" s="151" customFormat="1" ht="12" customHeight="1" x14ac:dyDescent="0.2">
      <c r="A31" s="845" t="s">
        <v>55</v>
      </c>
      <c r="B31" s="882" t="s">
        <v>301</v>
      </c>
      <c r="C31" s="906"/>
      <c r="D31" s="906"/>
      <c r="E31" s="863"/>
      <c r="F31" s="205"/>
      <c r="G31" s="205"/>
      <c r="H31" s="85"/>
      <c r="I31" s="85"/>
      <c r="J31" s="85"/>
      <c r="K31" s="85"/>
      <c r="L31" s="679"/>
      <c r="M31" s="679"/>
      <c r="N31" s="679"/>
      <c r="O31" s="85">
        <f t="shared" si="5"/>
        <v>0</v>
      </c>
      <c r="P31" s="85">
        <f t="shared" si="3"/>
        <v>0</v>
      </c>
      <c r="Q31" s="85">
        <f t="shared" si="4"/>
        <v>0</v>
      </c>
      <c r="R31" s="1166"/>
    </row>
    <row r="32" spans="1:18" s="151" customFormat="1" ht="12" customHeight="1" x14ac:dyDescent="0.2">
      <c r="A32" s="845" t="s">
        <v>97</v>
      </c>
      <c r="B32" s="882" t="s">
        <v>159</v>
      </c>
      <c r="C32" s="829">
        <v>189408354</v>
      </c>
      <c r="D32" s="205">
        <v>751203321</v>
      </c>
      <c r="E32" s="863">
        <v>742307126</v>
      </c>
      <c r="F32" s="205">
        <v>36977634</v>
      </c>
      <c r="G32" s="205">
        <v>361533700</v>
      </c>
      <c r="H32" s="85">
        <v>239136377</v>
      </c>
      <c r="I32" s="85"/>
      <c r="J32" s="85"/>
      <c r="K32" s="85"/>
      <c r="L32" s="679">
        <v>10712200</v>
      </c>
      <c r="M32" s="679">
        <v>11063630</v>
      </c>
      <c r="N32" s="679">
        <v>9640687</v>
      </c>
      <c r="O32" s="85">
        <f t="shared" si="5"/>
        <v>141718520</v>
      </c>
      <c r="P32" s="85">
        <f t="shared" si="3"/>
        <v>378605991</v>
      </c>
      <c r="Q32" s="85">
        <f t="shared" si="4"/>
        <v>493530062</v>
      </c>
      <c r="R32" s="1166"/>
    </row>
    <row r="33" spans="1:18" s="151" customFormat="1" ht="12" customHeight="1" thickBot="1" x14ac:dyDescent="0.25">
      <c r="A33" s="847" t="s">
        <v>98</v>
      </c>
      <c r="B33" s="883" t="s">
        <v>160</v>
      </c>
      <c r="C33" s="812">
        <v>80423773</v>
      </c>
      <c r="D33" s="206">
        <v>80423773</v>
      </c>
      <c r="E33" s="864">
        <v>71627578</v>
      </c>
      <c r="F33" s="206">
        <v>36977634</v>
      </c>
      <c r="G33" s="206">
        <v>236553830</v>
      </c>
      <c r="H33" s="87">
        <v>239136377</v>
      </c>
      <c r="I33" s="87"/>
      <c r="J33" s="87"/>
      <c r="K33" s="87"/>
      <c r="L33" s="681">
        <v>1092200</v>
      </c>
      <c r="M33" s="681">
        <v>1193800</v>
      </c>
      <c r="N33" s="681"/>
      <c r="O33" s="87">
        <f t="shared" si="5"/>
        <v>42353939</v>
      </c>
      <c r="P33" s="87">
        <f t="shared" si="3"/>
        <v>-157323857</v>
      </c>
      <c r="Q33" s="87">
        <f t="shared" si="4"/>
        <v>-167508799</v>
      </c>
      <c r="R33" s="1166"/>
    </row>
    <row r="34" spans="1:18" s="151" customFormat="1" ht="12" customHeight="1" thickBot="1" x14ac:dyDescent="0.25">
      <c r="A34" s="851" t="s">
        <v>9</v>
      </c>
      <c r="B34" s="852" t="s">
        <v>891</v>
      </c>
      <c r="C34" s="688">
        <f t="shared" ref="C34:K34" si="13">SUM(C36:C40)</f>
        <v>398600000</v>
      </c>
      <c r="D34" s="207">
        <f t="shared" si="13"/>
        <v>398600000</v>
      </c>
      <c r="E34" s="874">
        <f t="shared" si="13"/>
        <v>368475820</v>
      </c>
      <c r="F34" s="207">
        <f t="shared" si="13"/>
        <v>503000000</v>
      </c>
      <c r="G34" s="146">
        <f t="shared" si="13"/>
        <v>503000000</v>
      </c>
      <c r="H34" s="146">
        <f t="shared" si="13"/>
        <v>318511494</v>
      </c>
      <c r="I34" s="146">
        <f t="shared" si="13"/>
        <v>0</v>
      </c>
      <c r="J34" s="146">
        <f t="shared" si="13"/>
        <v>0</v>
      </c>
      <c r="K34" s="146">
        <f t="shared" si="13"/>
        <v>0</v>
      </c>
      <c r="L34" s="688"/>
      <c r="M34" s="688"/>
      <c r="N34" s="688"/>
      <c r="O34" s="146">
        <f t="shared" si="5"/>
        <v>-104400000</v>
      </c>
      <c r="P34" s="146">
        <f t="shared" si="3"/>
        <v>-104400000</v>
      </c>
      <c r="Q34" s="146">
        <f t="shared" si="4"/>
        <v>49964326</v>
      </c>
      <c r="R34" s="1166"/>
    </row>
    <row r="35" spans="1:18" s="151" customFormat="1" ht="12" customHeight="1" x14ac:dyDescent="0.2">
      <c r="A35" s="846" t="s">
        <v>161</v>
      </c>
      <c r="B35" s="881" t="s">
        <v>790</v>
      </c>
      <c r="C35" s="822">
        <v>385080000</v>
      </c>
      <c r="D35" s="204">
        <v>385080000</v>
      </c>
      <c r="E35" s="872">
        <f t="shared" ref="E35" si="14">SUM(E36:E37)</f>
        <v>354087632</v>
      </c>
      <c r="F35" s="204">
        <f>SUM(F36:F37)</f>
        <v>486000000</v>
      </c>
      <c r="G35" s="142">
        <f t="shared" ref="G35:H35" si="15">SUM(G36:G37)</f>
        <v>486000000</v>
      </c>
      <c r="H35" s="142">
        <f t="shared" si="15"/>
        <v>306301683</v>
      </c>
      <c r="I35" s="142">
        <f t="shared" ref="I35:K35" si="16">SUM(I36:I37)</f>
        <v>0</v>
      </c>
      <c r="J35" s="142">
        <f t="shared" si="16"/>
        <v>0</v>
      </c>
      <c r="K35" s="142">
        <f t="shared" si="16"/>
        <v>0</v>
      </c>
      <c r="L35" s="686"/>
      <c r="M35" s="686"/>
      <c r="N35" s="686"/>
      <c r="O35" s="142">
        <f t="shared" si="5"/>
        <v>-100920000</v>
      </c>
      <c r="P35" s="142">
        <f t="shared" si="3"/>
        <v>-100920000</v>
      </c>
      <c r="Q35" s="142">
        <f t="shared" si="4"/>
        <v>47785949</v>
      </c>
      <c r="R35" s="1166"/>
    </row>
    <row r="36" spans="1:18" s="151" customFormat="1" ht="12" customHeight="1" x14ac:dyDescent="0.2">
      <c r="A36" s="845" t="s">
        <v>791</v>
      </c>
      <c r="B36" s="881" t="s">
        <v>792</v>
      </c>
      <c r="C36" s="829">
        <v>88280000</v>
      </c>
      <c r="D36" s="205">
        <v>88280000</v>
      </c>
      <c r="E36" s="863">
        <v>91977110</v>
      </c>
      <c r="F36" s="205">
        <v>86000000</v>
      </c>
      <c r="G36" s="141">
        <v>86000000</v>
      </c>
      <c r="H36" s="85">
        <v>83640757</v>
      </c>
      <c r="I36" s="85"/>
      <c r="J36" s="85"/>
      <c r="K36" s="85"/>
      <c r="L36" s="679"/>
      <c r="M36" s="679"/>
      <c r="N36" s="679"/>
      <c r="O36" s="85">
        <f t="shared" si="5"/>
        <v>2280000</v>
      </c>
      <c r="P36" s="85">
        <f t="shared" si="3"/>
        <v>2280000</v>
      </c>
      <c r="Q36" s="85">
        <f t="shared" si="4"/>
        <v>8336353</v>
      </c>
      <c r="R36" s="1166"/>
    </row>
    <row r="37" spans="1:18" s="151" customFormat="1" ht="12" customHeight="1" x14ac:dyDescent="0.2">
      <c r="A37" s="845" t="s">
        <v>793</v>
      </c>
      <c r="B37" s="881" t="s">
        <v>794</v>
      </c>
      <c r="C37" s="814">
        <v>296800000</v>
      </c>
      <c r="D37" s="205">
        <v>296800000</v>
      </c>
      <c r="E37" s="863">
        <v>262110522</v>
      </c>
      <c r="F37" s="205">
        <v>400000000</v>
      </c>
      <c r="G37" s="141">
        <v>400000000</v>
      </c>
      <c r="H37" s="85">
        <v>222660926</v>
      </c>
      <c r="I37" s="85"/>
      <c r="J37" s="85"/>
      <c r="K37" s="85"/>
      <c r="L37" s="679"/>
      <c r="M37" s="679"/>
      <c r="N37" s="679"/>
      <c r="O37" s="85">
        <f t="shared" si="5"/>
        <v>-103200000</v>
      </c>
      <c r="P37" s="85">
        <f t="shared" si="3"/>
        <v>-103200000</v>
      </c>
      <c r="Q37" s="85">
        <f t="shared" si="4"/>
        <v>39449596</v>
      </c>
      <c r="R37" s="1166"/>
    </row>
    <row r="38" spans="1:18" s="151" customFormat="1" ht="12" customHeight="1" x14ac:dyDescent="0.2">
      <c r="A38" s="845" t="s">
        <v>162</v>
      </c>
      <c r="B38" s="881" t="s">
        <v>795</v>
      </c>
      <c r="C38" s="814">
        <v>0</v>
      </c>
      <c r="D38" s="205"/>
      <c r="E38" s="863">
        <v>1</v>
      </c>
      <c r="F38" s="205"/>
      <c r="G38" s="141"/>
      <c r="H38" s="85">
        <v>914</v>
      </c>
      <c r="I38" s="85"/>
      <c r="J38" s="85"/>
      <c r="K38" s="85"/>
      <c r="L38" s="679"/>
      <c r="M38" s="679"/>
      <c r="N38" s="679"/>
      <c r="O38" s="85">
        <f t="shared" si="5"/>
        <v>0</v>
      </c>
      <c r="P38" s="85">
        <f t="shared" si="3"/>
        <v>0</v>
      </c>
      <c r="Q38" s="85">
        <f t="shared" si="4"/>
        <v>-913</v>
      </c>
      <c r="R38" s="1166"/>
    </row>
    <row r="39" spans="1:18" s="151" customFormat="1" ht="12" customHeight="1" x14ac:dyDescent="0.2">
      <c r="A39" s="845" t="s">
        <v>163</v>
      </c>
      <c r="B39" s="881" t="s">
        <v>796</v>
      </c>
      <c r="C39" s="814">
        <v>0</v>
      </c>
      <c r="D39" s="205"/>
      <c r="E39" s="863">
        <v>774900</v>
      </c>
      <c r="F39" s="205">
        <v>1000000</v>
      </c>
      <c r="G39" s="141">
        <v>1000000</v>
      </c>
      <c r="H39" s="85">
        <v>194100</v>
      </c>
      <c r="I39" s="85"/>
      <c r="J39" s="85"/>
      <c r="K39" s="85"/>
      <c r="L39" s="679"/>
      <c r="M39" s="679"/>
      <c r="N39" s="679"/>
      <c r="O39" s="85">
        <f t="shared" si="5"/>
        <v>-1000000</v>
      </c>
      <c r="P39" s="85">
        <f t="shared" si="3"/>
        <v>-1000000</v>
      </c>
      <c r="Q39" s="85">
        <f t="shared" si="4"/>
        <v>580800</v>
      </c>
      <c r="R39" s="1166"/>
    </row>
    <row r="40" spans="1:18" s="151" customFormat="1" ht="12" customHeight="1" thickBot="1" x14ac:dyDescent="0.25">
      <c r="A40" s="845" t="s">
        <v>164</v>
      </c>
      <c r="B40" s="881" t="s">
        <v>797</v>
      </c>
      <c r="C40" s="812">
        <v>13520000</v>
      </c>
      <c r="D40" s="205">
        <v>13520000</v>
      </c>
      <c r="E40" s="863">
        <v>13613287</v>
      </c>
      <c r="F40" s="206">
        <v>16000000</v>
      </c>
      <c r="G40" s="143">
        <v>16000000</v>
      </c>
      <c r="H40" s="87">
        <v>12014797</v>
      </c>
      <c r="I40" s="85"/>
      <c r="J40" s="85"/>
      <c r="K40" s="85"/>
      <c r="L40" s="679"/>
      <c r="M40" s="679"/>
      <c r="N40" s="679"/>
      <c r="O40" s="85">
        <f t="shared" si="5"/>
        <v>-2480000</v>
      </c>
      <c r="P40" s="85">
        <f t="shared" si="3"/>
        <v>-2480000</v>
      </c>
      <c r="Q40" s="85">
        <f t="shared" si="4"/>
        <v>1598490</v>
      </c>
      <c r="R40" s="1166"/>
    </row>
    <row r="41" spans="1:18" s="151" customFormat="1" ht="12" customHeight="1" thickBot="1" x14ac:dyDescent="0.25">
      <c r="A41" s="851" t="s">
        <v>10</v>
      </c>
      <c r="B41" s="852" t="s">
        <v>308</v>
      </c>
      <c r="C41" s="907">
        <f t="shared" ref="C41:E41" si="17">SUM(C42:C52)</f>
        <v>364458308</v>
      </c>
      <c r="D41" s="203">
        <f t="shared" si="17"/>
        <v>368229537</v>
      </c>
      <c r="E41" s="870">
        <f t="shared" si="17"/>
        <v>317885957</v>
      </c>
      <c r="F41" s="203">
        <f>SUM(F42:F52)</f>
        <v>47290226</v>
      </c>
      <c r="G41" s="203">
        <f>SUM(G42:G52)</f>
        <v>106444459</v>
      </c>
      <c r="H41" s="84">
        <f>SUM(H42:H52)</f>
        <v>84379983</v>
      </c>
      <c r="I41" s="84">
        <f t="shared" ref="I41:K41" si="18">SUM(I42:I52)</f>
        <v>10182614</v>
      </c>
      <c r="J41" s="84">
        <f t="shared" si="18"/>
        <v>10182614</v>
      </c>
      <c r="K41" s="84">
        <f t="shared" si="18"/>
        <v>9685516</v>
      </c>
      <c r="L41" s="678">
        <v>287805090</v>
      </c>
      <c r="M41" s="678">
        <v>267461905</v>
      </c>
      <c r="N41" s="678">
        <v>239996534</v>
      </c>
      <c r="O41" s="84">
        <f t="shared" si="5"/>
        <v>19180378</v>
      </c>
      <c r="P41" s="84">
        <f t="shared" si="3"/>
        <v>-15859441</v>
      </c>
      <c r="Q41" s="84">
        <f t="shared" si="4"/>
        <v>-16176076</v>
      </c>
      <c r="R41" s="1166"/>
    </row>
    <row r="42" spans="1:18" s="151" customFormat="1" ht="12" customHeight="1" x14ac:dyDescent="0.2">
      <c r="A42" s="846" t="s">
        <v>56</v>
      </c>
      <c r="B42" s="881" t="s">
        <v>167</v>
      </c>
      <c r="C42" s="822">
        <v>0</v>
      </c>
      <c r="D42" s="204"/>
      <c r="E42" s="900">
        <v>1619390</v>
      </c>
      <c r="F42" s="204">
        <v>8175576</v>
      </c>
      <c r="G42" s="204">
        <v>8175576</v>
      </c>
      <c r="H42" s="86">
        <v>8175569</v>
      </c>
      <c r="I42" s="86"/>
      <c r="J42" s="86"/>
      <c r="K42" s="86"/>
      <c r="L42" s="680">
        <v>20000</v>
      </c>
      <c r="M42" s="680">
        <v>20000</v>
      </c>
      <c r="N42" s="680">
        <v>33678</v>
      </c>
      <c r="O42" s="86">
        <f t="shared" si="5"/>
        <v>-8195576</v>
      </c>
      <c r="P42" s="86">
        <f t="shared" si="3"/>
        <v>-8195576</v>
      </c>
      <c r="Q42" s="86">
        <f t="shared" si="4"/>
        <v>-6589857</v>
      </c>
      <c r="R42" s="1166"/>
    </row>
    <row r="43" spans="1:18" s="151" customFormat="1" ht="12" customHeight="1" x14ac:dyDescent="0.2">
      <c r="A43" s="845" t="s">
        <v>57</v>
      </c>
      <c r="B43" s="882" t="s">
        <v>168</v>
      </c>
      <c r="C43" s="829">
        <v>70238454</v>
      </c>
      <c r="D43" s="205">
        <v>64734315</v>
      </c>
      <c r="E43" s="863">
        <v>45845126</v>
      </c>
      <c r="F43" s="205">
        <v>18821599</v>
      </c>
      <c r="G43" s="205">
        <v>18774355</v>
      </c>
      <c r="H43" s="85">
        <v>22403894</v>
      </c>
      <c r="I43" s="85">
        <v>7565050</v>
      </c>
      <c r="J43" s="85">
        <v>7565050</v>
      </c>
      <c r="K43" s="85">
        <v>7401411</v>
      </c>
      <c r="L43" s="679">
        <v>50283120</v>
      </c>
      <c r="M43" s="679">
        <v>42826997</v>
      </c>
      <c r="N43" s="679">
        <v>39399915</v>
      </c>
      <c r="O43" s="85">
        <f t="shared" si="5"/>
        <v>-6431315</v>
      </c>
      <c r="P43" s="85">
        <f t="shared" si="3"/>
        <v>-4432087</v>
      </c>
      <c r="Q43" s="85">
        <f t="shared" si="4"/>
        <v>-23360094</v>
      </c>
      <c r="R43" s="1166"/>
    </row>
    <row r="44" spans="1:18" s="151" customFormat="1" ht="12" customHeight="1" x14ac:dyDescent="0.2">
      <c r="A44" s="845" t="s">
        <v>58</v>
      </c>
      <c r="B44" s="882" t="s">
        <v>169</v>
      </c>
      <c r="C44" s="829">
        <v>28440392</v>
      </c>
      <c r="D44" s="205">
        <v>29233899</v>
      </c>
      <c r="E44" s="863">
        <v>27776680</v>
      </c>
      <c r="F44" s="205">
        <v>8868669</v>
      </c>
      <c r="G44" s="205">
        <v>9877469</v>
      </c>
      <c r="H44" s="85">
        <v>5111349</v>
      </c>
      <c r="I44" s="85">
        <v>200000</v>
      </c>
      <c r="J44" s="85">
        <v>200000</v>
      </c>
      <c r="K44" s="85">
        <v>82395</v>
      </c>
      <c r="L44" s="679">
        <v>18852000</v>
      </c>
      <c r="M44" s="679">
        <v>18882000</v>
      </c>
      <c r="N44" s="679">
        <v>12486447</v>
      </c>
      <c r="O44" s="85">
        <f t="shared" si="5"/>
        <v>519723</v>
      </c>
      <c r="P44" s="85">
        <f t="shared" si="3"/>
        <v>274430</v>
      </c>
      <c r="Q44" s="85">
        <f t="shared" si="4"/>
        <v>10096489</v>
      </c>
      <c r="R44" s="1166"/>
    </row>
    <row r="45" spans="1:18" s="151" customFormat="1" ht="12" customHeight="1" x14ac:dyDescent="0.2">
      <c r="A45" s="845" t="s">
        <v>101</v>
      </c>
      <c r="B45" s="882" t="s">
        <v>170</v>
      </c>
      <c r="C45" s="829">
        <v>3743473</v>
      </c>
      <c r="D45" s="205">
        <v>6822173</v>
      </c>
      <c r="E45" s="863">
        <v>6598332</v>
      </c>
      <c r="F45" s="205">
        <v>1006560</v>
      </c>
      <c r="G45" s="205">
        <v>1006560</v>
      </c>
      <c r="H45" s="85">
        <v>3774152</v>
      </c>
      <c r="I45" s="85"/>
      <c r="J45" s="85"/>
      <c r="K45" s="85"/>
      <c r="L45" s="679"/>
      <c r="M45" s="679"/>
      <c r="N45" s="679"/>
      <c r="O45" s="85">
        <f t="shared" si="5"/>
        <v>2736913</v>
      </c>
      <c r="P45" s="85">
        <f t="shared" si="3"/>
        <v>5815613</v>
      </c>
      <c r="Q45" s="85">
        <f t="shared" si="4"/>
        <v>2824180</v>
      </c>
      <c r="R45" s="1166"/>
    </row>
    <row r="46" spans="1:18" s="151" customFormat="1" ht="12" customHeight="1" x14ac:dyDescent="0.2">
      <c r="A46" s="845" t="s">
        <v>102</v>
      </c>
      <c r="B46" s="882" t="s">
        <v>171</v>
      </c>
      <c r="C46" s="829">
        <v>199444919</v>
      </c>
      <c r="D46" s="205">
        <v>199444919</v>
      </c>
      <c r="E46" s="863">
        <v>176343061</v>
      </c>
      <c r="F46" s="205"/>
      <c r="G46" s="205"/>
      <c r="H46" s="85"/>
      <c r="I46" s="85"/>
      <c r="J46" s="85"/>
      <c r="K46" s="85"/>
      <c r="L46" s="679">
        <v>196813506</v>
      </c>
      <c r="M46" s="679">
        <v>187296551</v>
      </c>
      <c r="N46" s="679">
        <v>176293968</v>
      </c>
      <c r="O46" s="85">
        <f t="shared" si="5"/>
        <v>2631413</v>
      </c>
      <c r="P46" s="85">
        <f t="shared" si="3"/>
        <v>12148368</v>
      </c>
      <c r="Q46" s="85">
        <f t="shared" si="4"/>
        <v>49093</v>
      </c>
      <c r="R46" s="1166"/>
    </row>
    <row r="47" spans="1:18" s="151" customFormat="1" ht="12" customHeight="1" x14ac:dyDescent="0.2">
      <c r="A47" s="845" t="s">
        <v>103</v>
      </c>
      <c r="B47" s="882" t="s">
        <v>172</v>
      </c>
      <c r="C47" s="829">
        <v>24007648</v>
      </c>
      <c r="D47" s="205">
        <v>24329911</v>
      </c>
      <c r="E47" s="863">
        <v>18454925</v>
      </c>
      <c r="F47" s="205">
        <v>8330221</v>
      </c>
      <c r="G47" s="205">
        <v>8524069</v>
      </c>
      <c r="H47" s="85">
        <v>9921402</v>
      </c>
      <c r="I47" s="85">
        <v>2177564</v>
      </c>
      <c r="J47" s="85">
        <v>2177564</v>
      </c>
      <c r="K47" s="85">
        <v>2028134</v>
      </c>
      <c r="L47" s="679">
        <v>13060464</v>
      </c>
      <c r="M47" s="679">
        <v>9460357</v>
      </c>
      <c r="N47" s="679">
        <v>8168275</v>
      </c>
      <c r="O47" s="85">
        <f t="shared" si="5"/>
        <v>439399</v>
      </c>
      <c r="P47" s="85">
        <f t="shared" si="3"/>
        <v>4167921</v>
      </c>
      <c r="Q47" s="85">
        <f t="shared" si="4"/>
        <v>-1662886</v>
      </c>
      <c r="R47" s="1166"/>
    </row>
    <row r="48" spans="1:18" s="151" customFormat="1" ht="12" customHeight="1" x14ac:dyDescent="0.2">
      <c r="A48" s="845" t="s">
        <v>104</v>
      </c>
      <c r="B48" s="882" t="s">
        <v>173</v>
      </c>
      <c r="C48" s="829">
        <v>35961645</v>
      </c>
      <c r="D48" s="205">
        <v>37770645</v>
      </c>
      <c r="E48" s="863">
        <v>15350000</v>
      </c>
      <c r="F48" s="205">
        <v>0</v>
      </c>
      <c r="G48" s="205">
        <v>25525800</v>
      </c>
      <c r="H48" s="85">
        <v>0</v>
      </c>
      <c r="I48" s="85"/>
      <c r="J48" s="85"/>
      <c r="K48" s="85"/>
      <c r="L48" s="679">
        <v>8775000</v>
      </c>
      <c r="M48" s="679">
        <v>8775000</v>
      </c>
      <c r="N48" s="679">
        <v>2550000</v>
      </c>
      <c r="O48" s="85">
        <f t="shared" si="5"/>
        <v>27186645</v>
      </c>
      <c r="P48" s="85">
        <f t="shared" si="3"/>
        <v>3469845</v>
      </c>
      <c r="Q48" s="85">
        <f t="shared" si="4"/>
        <v>12800000</v>
      </c>
      <c r="R48" s="1166"/>
    </row>
    <row r="49" spans="1:18" s="151" customFormat="1" ht="12" customHeight="1" x14ac:dyDescent="0.2">
      <c r="A49" s="845" t="s">
        <v>105</v>
      </c>
      <c r="B49" s="882" t="s">
        <v>435</v>
      </c>
      <c r="C49" s="829">
        <v>0</v>
      </c>
      <c r="D49" s="205"/>
      <c r="E49" s="863">
        <v>5910</v>
      </c>
      <c r="F49" s="205"/>
      <c r="G49" s="205"/>
      <c r="H49" s="85">
        <v>153</v>
      </c>
      <c r="I49" s="85"/>
      <c r="J49" s="85"/>
      <c r="K49" s="85"/>
      <c r="L49" s="679"/>
      <c r="M49" s="679"/>
      <c r="N49" s="679"/>
      <c r="O49" s="85">
        <f t="shared" si="5"/>
        <v>0</v>
      </c>
      <c r="P49" s="85">
        <f t="shared" si="3"/>
        <v>0</v>
      </c>
      <c r="Q49" s="85">
        <f t="shared" si="4"/>
        <v>5757</v>
      </c>
      <c r="R49" s="1166"/>
    </row>
    <row r="50" spans="1:18" s="151" customFormat="1" ht="12" customHeight="1" x14ac:dyDescent="0.2">
      <c r="A50" s="845" t="s">
        <v>165</v>
      </c>
      <c r="B50" s="882" t="s">
        <v>175</v>
      </c>
      <c r="C50" s="829">
        <v>0</v>
      </c>
      <c r="D50" s="231"/>
      <c r="E50" s="898"/>
      <c r="F50" s="231"/>
      <c r="G50" s="231"/>
      <c r="H50" s="88"/>
      <c r="I50" s="88"/>
      <c r="J50" s="88"/>
      <c r="K50" s="88"/>
      <c r="L50" s="682"/>
      <c r="M50" s="682"/>
      <c r="N50" s="682"/>
      <c r="O50" s="88">
        <f t="shared" si="5"/>
        <v>0</v>
      </c>
      <c r="P50" s="88">
        <f t="shared" si="3"/>
        <v>0</v>
      </c>
      <c r="Q50" s="88">
        <f t="shared" si="4"/>
        <v>0</v>
      </c>
      <c r="R50" s="1166"/>
    </row>
    <row r="51" spans="1:18" s="151" customFormat="1" ht="12" customHeight="1" x14ac:dyDescent="0.2">
      <c r="A51" s="847" t="s">
        <v>166</v>
      </c>
      <c r="B51" s="883" t="s">
        <v>310</v>
      </c>
      <c r="C51" s="829">
        <v>1000000</v>
      </c>
      <c r="D51" s="232">
        <v>1000000</v>
      </c>
      <c r="E51" s="899">
        <v>17361516</v>
      </c>
      <c r="F51" s="232">
        <v>1000000</v>
      </c>
      <c r="G51" s="232">
        <v>1000000</v>
      </c>
      <c r="H51" s="89">
        <v>1278624</v>
      </c>
      <c r="I51" s="89"/>
      <c r="J51" s="89"/>
      <c r="K51" s="89"/>
      <c r="L51" s="683"/>
      <c r="M51" s="683"/>
      <c r="N51" s="683"/>
      <c r="O51" s="89">
        <f t="shared" si="5"/>
        <v>0</v>
      </c>
      <c r="P51" s="89">
        <f t="shared" si="3"/>
        <v>0</v>
      </c>
      <c r="Q51" s="89">
        <f t="shared" si="4"/>
        <v>16082892</v>
      </c>
      <c r="R51" s="1166"/>
    </row>
    <row r="52" spans="1:18" s="151" customFormat="1" ht="12" customHeight="1" thickBot="1" x14ac:dyDescent="0.25">
      <c r="A52" s="847" t="s">
        <v>309</v>
      </c>
      <c r="B52" s="867" t="s">
        <v>176</v>
      </c>
      <c r="C52" s="812">
        <v>1621777</v>
      </c>
      <c r="D52" s="232">
        <v>4893675</v>
      </c>
      <c r="E52" s="899">
        <v>8531017</v>
      </c>
      <c r="F52" s="232">
        <v>1087601</v>
      </c>
      <c r="G52" s="232">
        <v>33560630</v>
      </c>
      <c r="H52" s="89">
        <v>33714840</v>
      </c>
      <c r="I52" s="89">
        <v>240000</v>
      </c>
      <c r="J52" s="89">
        <v>240000</v>
      </c>
      <c r="K52" s="89">
        <v>173576</v>
      </c>
      <c r="L52" s="683">
        <v>1000</v>
      </c>
      <c r="M52" s="683">
        <v>201000</v>
      </c>
      <c r="N52" s="683">
        <v>1064251</v>
      </c>
      <c r="O52" s="89">
        <f t="shared" si="5"/>
        <v>293176</v>
      </c>
      <c r="P52" s="89">
        <f t="shared" si="3"/>
        <v>-29107955</v>
      </c>
      <c r="Q52" s="89">
        <f t="shared" si="4"/>
        <v>-26421650</v>
      </c>
      <c r="R52" s="1166"/>
    </row>
    <row r="53" spans="1:18" s="151" customFormat="1" ht="12" customHeight="1" thickBot="1" x14ac:dyDescent="0.25">
      <c r="A53" s="851" t="s">
        <v>11</v>
      </c>
      <c r="B53" s="852" t="s">
        <v>177</v>
      </c>
      <c r="C53" s="907">
        <f t="shared" ref="C53:E53" si="19">SUM(C54:C58)</f>
        <v>63000000</v>
      </c>
      <c r="D53" s="203">
        <f t="shared" si="19"/>
        <v>63000000</v>
      </c>
      <c r="E53" s="870">
        <f t="shared" si="19"/>
        <v>24015126</v>
      </c>
      <c r="F53" s="203">
        <f>SUM(F54:F58)</f>
        <v>44304508</v>
      </c>
      <c r="G53" s="203">
        <f>SUM(G54:G58)</f>
        <v>44304508</v>
      </c>
      <c r="H53" s="84">
        <f>SUM(H54:H58)</f>
        <v>8404405</v>
      </c>
      <c r="I53" s="84">
        <f t="shared" ref="I53:K53" si="20">SUM(I54:I58)</f>
        <v>300000</v>
      </c>
      <c r="J53" s="84">
        <f t="shared" si="20"/>
        <v>300000</v>
      </c>
      <c r="K53" s="84">
        <f t="shared" si="20"/>
        <v>28793</v>
      </c>
      <c r="L53" s="678"/>
      <c r="M53" s="678"/>
      <c r="N53" s="678"/>
      <c r="O53" s="84">
        <f t="shared" si="5"/>
        <v>18395492</v>
      </c>
      <c r="P53" s="84">
        <f t="shared" si="3"/>
        <v>18395492</v>
      </c>
      <c r="Q53" s="84">
        <f t="shared" si="4"/>
        <v>15581928</v>
      </c>
      <c r="R53" s="1166"/>
    </row>
    <row r="54" spans="1:18" s="151" customFormat="1" ht="12" customHeight="1" x14ac:dyDescent="0.2">
      <c r="A54" s="846" t="s">
        <v>59</v>
      </c>
      <c r="B54" s="881" t="s">
        <v>181</v>
      </c>
      <c r="C54" s="808">
        <v>0</v>
      </c>
      <c r="D54" s="233"/>
      <c r="E54" s="901"/>
      <c r="F54" s="233">
        <v>44304508</v>
      </c>
      <c r="G54" s="233">
        <v>44304508</v>
      </c>
      <c r="H54" s="90">
        <v>8058657</v>
      </c>
      <c r="I54" s="90"/>
      <c r="J54" s="90"/>
      <c r="K54" s="90"/>
      <c r="L54" s="684"/>
      <c r="M54" s="684"/>
      <c r="N54" s="684"/>
      <c r="O54" s="90">
        <f t="shared" si="5"/>
        <v>-44304508</v>
      </c>
      <c r="P54" s="90">
        <f t="shared" si="3"/>
        <v>-44304508</v>
      </c>
      <c r="Q54" s="90">
        <f t="shared" si="4"/>
        <v>-8058657</v>
      </c>
      <c r="R54" s="1166"/>
    </row>
    <row r="55" spans="1:18" s="151" customFormat="1" ht="12" customHeight="1" x14ac:dyDescent="0.2">
      <c r="A55" s="845" t="s">
        <v>60</v>
      </c>
      <c r="B55" s="882" t="s">
        <v>182</v>
      </c>
      <c r="C55" s="829">
        <v>63000000</v>
      </c>
      <c r="D55" s="231">
        <v>63000000</v>
      </c>
      <c r="E55" s="898">
        <v>23960843</v>
      </c>
      <c r="F55" s="231"/>
      <c r="G55" s="231"/>
      <c r="H55" s="88"/>
      <c r="I55" s="88"/>
      <c r="J55" s="88"/>
      <c r="K55" s="88"/>
      <c r="L55" s="682"/>
      <c r="M55" s="682"/>
      <c r="N55" s="682"/>
      <c r="O55" s="88">
        <f t="shared" si="5"/>
        <v>63000000</v>
      </c>
      <c r="P55" s="88">
        <f t="shared" si="3"/>
        <v>63000000</v>
      </c>
      <c r="Q55" s="88">
        <f t="shared" si="4"/>
        <v>23960843</v>
      </c>
      <c r="R55" s="1166"/>
    </row>
    <row r="56" spans="1:18" s="151" customFormat="1" ht="12" customHeight="1" x14ac:dyDescent="0.2">
      <c r="A56" s="845" t="s">
        <v>178</v>
      </c>
      <c r="B56" s="882" t="s">
        <v>183</v>
      </c>
      <c r="C56" s="829">
        <v>0</v>
      </c>
      <c r="D56" s="231"/>
      <c r="E56" s="898">
        <v>54283</v>
      </c>
      <c r="F56" s="231">
        <v>0</v>
      </c>
      <c r="G56" s="231">
        <v>0</v>
      </c>
      <c r="H56" s="88">
        <v>15748</v>
      </c>
      <c r="I56" s="88">
        <v>300000</v>
      </c>
      <c r="J56" s="88">
        <v>300000</v>
      </c>
      <c r="K56" s="88">
        <v>28793</v>
      </c>
      <c r="L56" s="682"/>
      <c r="M56" s="682"/>
      <c r="N56" s="682"/>
      <c r="O56" s="88">
        <f t="shared" si="5"/>
        <v>-300000</v>
      </c>
      <c r="P56" s="88">
        <f t="shared" si="3"/>
        <v>-300000</v>
      </c>
      <c r="Q56" s="88">
        <f t="shared" si="4"/>
        <v>9742</v>
      </c>
      <c r="R56" s="1166"/>
    </row>
    <row r="57" spans="1:18" s="151" customFormat="1" ht="12" customHeight="1" x14ac:dyDescent="0.2">
      <c r="A57" s="845" t="s">
        <v>179</v>
      </c>
      <c r="B57" s="882" t="s">
        <v>184</v>
      </c>
      <c r="C57" s="829">
        <v>0</v>
      </c>
      <c r="D57" s="231"/>
      <c r="E57" s="898"/>
      <c r="F57" s="231">
        <v>0</v>
      </c>
      <c r="G57" s="231">
        <v>0</v>
      </c>
      <c r="H57" s="88"/>
      <c r="I57" s="88"/>
      <c r="J57" s="88"/>
      <c r="K57" s="88"/>
      <c r="L57" s="682"/>
      <c r="M57" s="682"/>
      <c r="N57" s="682"/>
      <c r="O57" s="88">
        <f t="shared" si="5"/>
        <v>0</v>
      </c>
      <c r="P57" s="88">
        <f t="shared" si="3"/>
        <v>0</v>
      </c>
      <c r="Q57" s="88">
        <f t="shared" si="4"/>
        <v>0</v>
      </c>
      <c r="R57" s="1166"/>
    </row>
    <row r="58" spans="1:18" s="151" customFormat="1" ht="12" customHeight="1" thickBot="1" x14ac:dyDescent="0.25">
      <c r="A58" s="847" t="s">
        <v>180</v>
      </c>
      <c r="B58" s="867" t="s">
        <v>185</v>
      </c>
      <c r="C58" s="807">
        <v>0</v>
      </c>
      <c r="D58" s="232">
        <v>0</v>
      </c>
      <c r="E58" s="899"/>
      <c r="F58" s="232"/>
      <c r="G58" s="232"/>
      <c r="H58" s="89">
        <v>330000</v>
      </c>
      <c r="I58" s="89"/>
      <c r="J58" s="89"/>
      <c r="K58" s="89"/>
      <c r="L58" s="683"/>
      <c r="M58" s="683"/>
      <c r="N58" s="683"/>
      <c r="O58" s="89">
        <f t="shared" si="5"/>
        <v>0</v>
      </c>
      <c r="P58" s="89">
        <f t="shared" si="3"/>
        <v>0</v>
      </c>
      <c r="Q58" s="89">
        <f t="shared" si="4"/>
        <v>-330000</v>
      </c>
      <c r="R58" s="1166"/>
    </row>
    <row r="59" spans="1:18" s="151" customFormat="1" ht="12" customHeight="1" thickBot="1" x14ac:dyDescent="0.25">
      <c r="A59" s="851" t="s">
        <v>106</v>
      </c>
      <c r="B59" s="852" t="s">
        <v>186</v>
      </c>
      <c r="C59" s="907">
        <f t="shared" ref="C59:E59" si="21">SUM(C60:C62)</f>
        <v>1200000</v>
      </c>
      <c r="D59" s="203">
        <f t="shared" si="21"/>
        <v>15082586</v>
      </c>
      <c r="E59" s="870">
        <f t="shared" si="21"/>
        <v>14672429</v>
      </c>
      <c r="F59" s="203">
        <f>SUM(F60:F62)</f>
        <v>2175000</v>
      </c>
      <c r="G59" s="203">
        <f>SUM(G60:G62)</f>
        <v>2209000</v>
      </c>
      <c r="H59" s="84">
        <f>SUM(H60:H62)</f>
        <v>2185806</v>
      </c>
      <c r="I59" s="84">
        <f t="shared" ref="I59:K59" si="22">SUM(I60:I62)</f>
        <v>0</v>
      </c>
      <c r="J59" s="84">
        <f t="shared" si="22"/>
        <v>0</v>
      </c>
      <c r="K59" s="84">
        <f t="shared" si="22"/>
        <v>0</v>
      </c>
      <c r="L59" s="678"/>
      <c r="M59" s="678">
        <v>330075</v>
      </c>
      <c r="N59" s="678">
        <v>308610</v>
      </c>
      <c r="O59" s="84">
        <f t="shared" si="5"/>
        <v>-975000</v>
      </c>
      <c r="P59" s="84">
        <f t="shared" si="3"/>
        <v>12543511</v>
      </c>
      <c r="Q59" s="84">
        <f t="shared" si="4"/>
        <v>12178013</v>
      </c>
      <c r="R59" s="1166"/>
    </row>
    <row r="60" spans="1:18" s="151" customFormat="1" ht="12" customHeight="1" x14ac:dyDescent="0.2">
      <c r="A60" s="846" t="s">
        <v>61</v>
      </c>
      <c r="B60" s="881" t="s">
        <v>187</v>
      </c>
      <c r="C60" s="811">
        <v>0</v>
      </c>
      <c r="D60" s="204">
        <v>1000000</v>
      </c>
      <c r="E60" s="900">
        <v>323648</v>
      </c>
      <c r="F60" s="204"/>
      <c r="G60" s="204"/>
      <c r="H60" s="86"/>
      <c r="I60" s="86"/>
      <c r="J60" s="86"/>
      <c r="K60" s="86"/>
      <c r="L60" s="680"/>
      <c r="M60" s="680"/>
      <c r="N60" s="680"/>
      <c r="O60" s="86">
        <f t="shared" si="5"/>
        <v>0</v>
      </c>
      <c r="P60" s="86">
        <f t="shared" si="3"/>
        <v>1000000</v>
      </c>
      <c r="Q60" s="86">
        <f t="shared" si="4"/>
        <v>323648</v>
      </c>
      <c r="R60" s="1166"/>
    </row>
    <row r="61" spans="1:18" s="151" customFormat="1" ht="12" customHeight="1" x14ac:dyDescent="0.2">
      <c r="A61" s="845" t="s">
        <v>62</v>
      </c>
      <c r="B61" s="882" t="s">
        <v>302</v>
      </c>
      <c r="C61" s="829">
        <v>200000</v>
      </c>
      <c r="D61" s="205">
        <v>200000</v>
      </c>
      <c r="E61" s="863">
        <v>431905</v>
      </c>
      <c r="F61" s="205">
        <v>600000</v>
      </c>
      <c r="G61" s="205">
        <v>600000</v>
      </c>
      <c r="H61" s="85">
        <v>540368</v>
      </c>
      <c r="I61" s="85"/>
      <c r="J61" s="85"/>
      <c r="K61" s="85"/>
      <c r="L61" s="679"/>
      <c r="M61" s="679"/>
      <c r="N61" s="679"/>
      <c r="O61" s="85">
        <f t="shared" si="5"/>
        <v>-400000</v>
      </c>
      <c r="P61" s="85">
        <f t="shared" si="3"/>
        <v>-400000</v>
      </c>
      <c r="Q61" s="85">
        <f t="shared" si="4"/>
        <v>-108463</v>
      </c>
      <c r="R61" s="1166"/>
    </row>
    <row r="62" spans="1:18" s="151" customFormat="1" ht="12" customHeight="1" x14ac:dyDescent="0.2">
      <c r="A62" s="845" t="s">
        <v>190</v>
      </c>
      <c r="B62" s="882" t="s">
        <v>188</v>
      </c>
      <c r="C62" s="829">
        <v>1000000</v>
      </c>
      <c r="D62" s="205">
        <v>13882586</v>
      </c>
      <c r="E62" s="863">
        <v>13916876</v>
      </c>
      <c r="F62" s="205">
        <v>1575000</v>
      </c>
      <c r="G62" s="205">
        <v>1609000</v>
      </c>
      <c r="H62" s="85">
        <v>1645438</v>
      </c>
      <c r="I62" s="85"/>
      <c r="J62" s="85"/>
      <c r="K62" s="85"/>
      <c r="L62" s="679"/>
      <c r="M62" s="679">
        <v>330075</v>
      </c>
      <c r="N62" s="679">
        <v>308610</v>
      </c>
      <c r="O62" s="85">
        <f t="shared" si="5"/>
        <v>-575000</v>
      </c>
      <c r="P62" s="85">
        <f t="shared" si="3"/>
        <v>11943511</v>
      </c>
      <c r="Q62" s="85">
        <f t="shared" si="4"/>
        <v>11962828</v>
      </c>
      <c r="R62" s="1166"/>
    </row>
    <row r="63" spans="1:18" s="151" customFormat="1" ht="12" customHeight="1" thickBot="1" x14ac:dyDescent="0.25">
      <c r="A63" s="847" t="s">
        <v>191</v>
      </c>
      <c r="B63" s="867" t="s">
        <v>189</v>
      </c>
      <c r="C63" s="812">
        <v>0</v>
      </c>
      <c r="D63" s="206"/>
      <c r="E63" s="864"/>
      <c r="F63" s="206"/>
      <c r="G63" s="206"/>
      <c r="H63" s="87"/>
      <c r="I63" s="87"/>
      <c r="J63" s="87"/>
      <c r="K63" s="87"/>
      <c r="L63" s="681"/>
      <c r="M63" s="681"/>
      <c r="N63" s="681"/>
      <c r="O63" s="87">
        <f t="shared" si="5"/>
        <v>0</v>
      </c>
      <c r="P63" s="87">
        <f t="shared" si="3"/>
        <v>0</v>
      </c>
      <c r="Q63" s="87">
        <f t="shared" si="4"/>
        <v>0</v>
      </c>
      <c r="R63" s="1166"/>
    </row>
    <row r="64" spans="1:18" s="151" customFormat="1" ht="12" customHeight="1" thickBot="1" x14ac:dyDescent="0.25">
      <c r="A64" s="851" t="s">
        <v>13</v>
      </c>
      <c r="B64" s="865" t="s">
        <v>192</v>
      </c>
      <c r="C64" s="907">
        <f t="shared" ref="C64:E64" si="23">SUM(C65:C67)</f>
        <v>0</v>
      </c>
      <c r="D64" s="203">
        <f t="shared" si="23"/>
        <v>250000</v>
      </c>
      <c r="E64" s="870">
        <f t="shared" si="23"/>
        <v>250000</v>
      </c>
      <c r="F64" s="203">
        <f>SUM(F65:F67)</f>
        <v>0</v>
      </c>
      <c r="G64" s="203">
        <f>SUM(G65:G67)</f>
        <v>11200000</v>
      </c>
      <c r="H64" s="84">
        <f>SUM(H65:H67)</f>
        <v>10260400</v>
      </c>
      <c r="I64" s="84">
        <f t="shared" ref="I64:K64" si="24">SUM(I65:I67)</f>
        <v>0</v>
      </c>
      <c r="J64" s="84">
        <f t="shared" si="24"/>
        <v>0</v>
      </c>
      <c r="K64" s="84">
        <f t="shared" si="24"/>
        <v>0</v>
      </c>
      <c r="L64" s="678"/>
      <c r="M64" s="678">
        <v>1250000</v>
      </c>
      <c r="N64" s="678">
        <v>1250000</v>
      </c>
      <c r="O64" s="84">
        <f t="shared" si="5"/>
        <v>0</v>
      </c>
      <c r="P64" s="84">
        <f t="shared" si="3"/>
        <v>-12200000</v>
      </c>
      <c r="Q64" s="84">
        <f t="shared" si="4"/>
        <v>-11260400</v>
      </c>
      <c r="R64" s="1166"/>
    </row>
    <row r="65" spans="1:18" s="151" customFormat="1" ht="12" customHeight="1" x14ac:dyDescent="0.2">
      <c r="A65" s="846" t="s">
        <v>107</v>
      </c>
      <c r="B65" s="881" t="s">
        <v>194</v>
      </c>
      <c r="C65" s="648"/>
      <c r="D65" s="231"/>
      <c r="E65" s="898"/>
      <c r="F65" s="231"/>
      <c r="G65" s="231"/>
      <c r="H65" s="88"/>
      <c r="I65" s="88"/>
      <c r="J65" s="88"/>
      <c r="K65" s="88"/>
      <c r="L65" s="682"/>
      <c r="M65" s="682"/>
      <c r="N65" s="682"/>
      <c r="O65" s="88">
        <f t="shared" si="5"/>
        <v>0</v>
      </c>
      <c r="P65" s="88">
        <f t="shared" si="3"/>
        <v>0</v>
      </c>
      <c r="Q65" s="88">
        <f t="shared" si="4"/>
        <v>0</v>
      </c>
      <c r="R65" s="1166"/>
    </row>
    <row r="66" spans="1:18" s="151" customFormat="1" ht="12" customHeight="1" x14ac:dyDescent="0.2">
      <c r="A66" s="845" t="s">
        <v>108</v>
      </c>
      <c r="B66" s="882" t="s">
        <v>303</v>
      </c>
      <c r="C66" s="648"/>
      <c r="D66" s="231"/>
      <c r="E66" s="898"/>
      <c r="F66" s="231"/>
      <c r="G66" s="231"/>
      <c r="H66" s="88"/>
      <c r="I66" s="88"/>
      <c r="J66" s="88"/>
      <c r="K66" s="88"/>
      <c r="L66" s="682"/>
      <c r="M66" s="682"/>
      <c r="N66" s="682"/>
      <c r="O66" s="88">
        <f t="shared" si="5"/>
        <v>0</v>
      </c>
      <c r="P66" s="88">
        <f t="shared" si="3"/>
        <v>0</v>
      </c>
      <c r="Q66" s="88">
        <f t="shared" si="4"/>
        <v>0</v>
      </c>
      <c r="R66" s="1166"/>
    </row>
    <row r="67" spans="1:18" s="151" customFormat="1" ht="12" customHeight="1" x14ac:dyDescent="0.2">
      <c r="A67" s="845" t="s">
        <v>131</v>
      </c>
      <c r="B67" s="882" t="s">
        <v>195</v>
      </c>
      <c r="C67" s="648">
        <v>0</v>
      </c>
      <c r="D67" s="231">
        <v>250000</v>
      </c>
      <c r="E67" s="898">
        <v>250000</v>
      </c>
      <c r="F67" s="231">
        <v>0</v>
      </c>
      <c r="G67" s="231">
        <v>11200000</v>
      </c>
      <c r="H67" s="88">
        <v>10260400</v>
      </c>
      <c r="I67" s="88"/>
      <c r="J67" s="88"/>
      <c r="K67" s="88"/>
      <c r="L67" s="682"/>
      <c r="M67" s="682">
        <v>1250000</v>
      </c>
      <c r="N67" s="682">
        <v>1250000</v>
      </c>
      <c r="O67" s="88">
        <f t="shared" si="5"/>
        <v>0</v>
      </c>
      <c r="P67" s="88">
        <f t="shared" si="3"/>
        <v>-12200000</v>
      </c>
      <c r="Q67" s="88">
        <f t="shared" si="4"/>
        <v>-11260400</v>
      </c>
      <c r="R67" s="1166"/>
    </row>
    <row r="68" spans="1:18" s="151" customFormat="1" ht="12" customHeight="1" thickBot="1" x14ac:dyDescent="0.25">
      <c r="A68" s="847" t="s">
        <v>193</v>
      </c>
      <c r="B68" s="867" t="s">
        <v>196</v>
      </c>
      <c r="C68" s="648"/>
      <c r="D68" s="231"/>
      <c r="E68" s="898"/>
      <c r="F68" s="231"/>
      <c r="G68" s="231">
        <v>6000000</v>
      </c>
      <c r="H68" s="88">
        <v>5060400</v>
      </c>
      <c r="I68" s="88"/>
      <c r="J68" s="88"/>
      <c r="K68" s="88"/>
      <c r="L68" s="682"/>
      <c r="M68" s="682"/>
      <c r="N68" s="682"/>
      <c r="O68" s="88">
        <f t="shared" si="5"/>
        <v>0</v>
      </c>
      <c r="P68" s="88">
        <f t="shared" si="3"/>
        <v>-6000000</v>
      </c>
      <c r="Q68" s="88">
        <f t="shared" si="4"/>
        <v>-5060400</v>
      </c>
      <c r="R68" s="1166"/>
    </row>
    <row r="69" spans="1:18" s="151" customFormat="1" ht="12" customHeight="1" thickBot="1" x14ac:dyDescent="0.25">
      <c r="A69" s="890" t="s">
        <v>348</v>
      </c>
      <c r="B69" s="852" t="s">
        <v>197</v>
      </c>
      <c r="C69" s="688">
        <f t="shared" ref="C69:K69" si="25">+C11+C20+C27+C34+C41+C53+C59+C64</f>
        <v>2958996769</v>
      </c>
      <c r="D69" s="207">
        <f t="shared" si="25"/>
        <v>4957119537</v>
      </c>
      <c r="E69" s="874">
        <f t="shared" si="25"/>
        <v>4653633946</v>
      </c>
      <c r="F69" s="207">
        <f t="shared" si="25"/>
        <v>2258506200</v>
      </c>
      <c r="G69" s="207">
        <f t="shared" si="25"/>
        <v>2673252794</v>
      </c>
      <c r="H69" s="172">
        <f t="shared" si="25"/>
        <v>2260774883</v>
      </c>
      <c r="I69" s="172">
        <f t="shared" si="25"/>
        <v>10482614</v>
      </c>
      <c r="J69" s="172">
        <f t="shared" si="25"/>
        <v>10482614</v>
      </c>
      <c r="K69" s="172">
        <f t="shared" si="25"/>
        <v>9714309</v>
      </c>
      <c r="L69" s="689">
        <v>406211419</v>
      </c>
      <c r="M69" s="689">
        <v>395240818</v>
      </c>
      <c r="N69" s="689">
        <v>290617236</v>
      </c>
      <c r="O69" s="172">
        <f t="shared" si="5"/>
        <v>283796536</v>
      </c>
      <c r="P69" s="172">
        <f t="shared" si="3"/>
        <v>1878143311</v>
      </c>
      <c r="Q69" s="172">
        <f t="shared" si="4"/>
        <v>2092527518</v>
      </c>
      <c r="R69" s="1166"/>
    </row>
    <row r="70" spans="1:18" s="151" customFormat="1" ht="12" customHeight="1" thickBot="1" x14ac:dyDescent="0.25">
      <c r="A70" s="891" t="s">
        <v>198</v>
      </c>
      <c r="B70" s="865" t="s">
        <v>199</v>
      </c>
      <c r="C70" s="907">
        <f t="shared" ref="C70:E70" si="26">SUM(C71:C73)</f>
        <v>868562529</v>
      </c>
      <c r="D70" s="203">
        <f t="shared" si="26"/>
        <v>1189060316</v>
      </c>
      <c r="E70" s="870">
        <f t="shared" si="26"/>
        <v>1015000568</v>
      </c>
      <c r="F70" s="203">
        <f>SUM(F71:F73)</f>
        <v>742411899</v>
      </c>
      <c r="G70" s="203">
        <f>SUM(G71:G73)</f>
        <v>854725854</v>
      </c>
      <c r="H70" s="84">
        <f>SUM(H71:H73)</f>
        <v>842474481</v>
      </c>
      <c r="I70" s="84">
        <f t="shared" ref="I70:K70" si="27">SUM(I71:I73)</f>
        <v>0</v>
      </c>
      <c r="J70" s="84">
        <f t="shared" si="27"/>
        <v>0</v>
      </c>
      <c r="K70" s="84">
        <f t="shared" si="27"/>
        <v>0</v>
      </c>
      <c r="L70" s="678"/>
      <c r="M70" s="678"/>
      <c r="N70" s="678"/>
      <c r="O70" s="84">
        <f t="shared" si="5"/>
        <v>126150630</v>
      </c>
      <c r="P70" s="84">
        <f t="shared" si="3"/>
        <v>334334462</v>
      </c>
      <c r="Q70" s="84">
        <f t="shared" si="4"/>
        <v>172526087</v>
      </c>
      <c r="R70" s="1166"/>
    </row>
    <row r="71" spans="1:18" s="151" customFormat="1" ht="12" customHeight="1" x14ac:dyDescent="0.2">
      <c r="A71" s="846" t="s">
        <v>226</v>
      </c>
      <c r="B71" s="881" t="s">
        <v>200</v>
      </c>
      <c r="C71" s="822">
        <v>18562529</v>
      </c>
      <c r="D71" s="231">
        <v>185562529</v>
      </c>
      <c r="E71" s="898">
        <v>11502781</v>
      </c>
      <c r="F71" s="231">
        <v>42411899</v>
      </c>
      <c r="G71" s="231">
        <v>33570614</v>
      </c>
      <c r="H71" s="88">
        <v>21319241</v>
      </c>
      <c r="I71" s="88"/>
      <c r="J71" s="88"/>
      <c r="K71" s="88"/>
      <c r="L71" s="682"/>
      <c r="M71" s="682"/>
      <c r="N71" s="682"/>
      <c r="O71" s="88">
        <f t="shared" si="5"/>
        <v>-23849370</v>
      </c>
      <c r="P71" s="88">
        <f t="shared" si="3"/>
        <v>151991915</v>
      </c>
      <c r="Q71" s="88">
        <f t="shared" si="4"/>
        <v>-9816460</v>
      </c>
      <c r="R71" s="1166"/>
    </row>
    <row r="72" spans="1:18" s="151" customFormat="1" ht="12" customHeight="1" x14ac:dyDescent="0.2">
      <c r="A72" s="845" t="s">
        <v>235</v>
      </c>
      <c r="B72" s="882" t="s">
        <v>201</v>
      </c>
      <c r="C72" s="829">
        <v>850000000</v>
      </c>
      <c r="D72" s="231">
        <v>1003497787</v>
      </c>
      <c r="E72" s="898">
        <v>1003497787</v>
      </c>
      <c r="F72" s="231">
        <v>700000000</v>
      </c>
      <c r="G72" s="231">
        <v>821155240</v>
      </c>
      <c r="H72" s="88">
        <v>821155240</v>
      </c>
      <c r="I72" s="88"/>
      <c r="J72" s="88"/>
      <c r="K72" s="88"/>
      <c r="L72" s="682"/>
      <c r="M72" s="682"/>
      <c r="N72" s="682"/>
      <c r="O72" s="88">
        <f t="shared" si="5"/>
        <v>150000000</v>
      </c>
      <c r="P72" s="88">
        <f t="shared" si="3"/>
        <v>182342547</v>
      </c>
      <c r="Q72" s="88">
        <f t="shared" si="4"/>
        <v>182342547</v>
      </c>
      <c r="R72" s="1166"/>
    </row>
    <row r="73" spans="1:18" s="151" customFormat="1" ht="12" customHeight="1" thickBot="1" x14ac:dyDescent="0.25">
      <c r="A73" s="847" t="s">
        <v>236</v>
      </c>
      <c r="B73" s="892" t="s">
        <v>333</v>
      </c>
      <c r="C73" s="807">
        <v>0</v>
      </c>
      <c r="D73" s="231"/>
      <c r="E73" s="898"/>
      <c r="F73" s="234"/>
      <c r="G73" s="234"/>
      <c r="H73" s="259"/>
      <c r="I73" s="88"/>
      <c r="J73" s="88"/>
      <c r="K73" s="88"/>
      <c r="L73" s="682"/>
      <c r="M73" s="682"/>
      <c r="N73" s="682"/>
      <c r="O73" s="88">
        <f t="shared" si="5"/>
        <v>0</v>
      </c>
      <c r="P73" s="88">
        <f t="shared" si="3"/>
        <v>0</v>
      </c>
      <c r="Q73" s="88">
        <f t="shared" si="4"/>
        <v>0</v>
      </c>
      <c r="R73" s="1166"/>
    </row>
    <row r="74" spans="1:18" s="151" customFormat="1" ht="12" customHeight="1" thickBot="1" x14ac:dyDescent="0.25">
      <c r="A74" s="891" t="s">
        <v>202</v>
      </c>
      <c r="B74" s="865" t="s">
        <v>203</v>
      </c>
      <c r="C74" s="907">
        <f t="shared" ref="C74:E74" si="28">SUM(C75:C78)</f>
        <v>0</v>
      </c>
      <c r="D74" s="203">
        <f t="shared" si="28"/>
        <v>0</v>
      </c>
      <c r="E74" s="870">
        <f t="shared" si="28"/>
        <v>0</v>
      </c>
      <c r="F74" s="203">
        <f>SUM(F75:F78)</f>
        <v>0</v>
      </c>
      <c r="G74" s="140">
        <f>SUM(G75:G78)</f>
        <v>0</v>
      </c>
      <c r="H74" s="84">
        <f>SUM(H75:H78)</f>
        <v>0</v>
      </c>
      <c r="I74" s="84">
        <f t="shared" ref="I74:K74" si="29">SUM(I75:I78)</f>
        <v>0</v>
      </c>
      <c r="J74" s="84">
        <f t="shared" si="29"/>
        <v>0</v>
      </c>
      <c r="K74" s="84">
        <f t="shared" si="29"/>
        <v>0</v>
      </c>
      <c r="L74" s="678"/>
      <c r="M74" s="678"/>
      <c r="N74" s="678"/>
      <c r="O74" s="84">
        <f t="shared" si="5"/>
        <v>0</v>
      </c>
      <c r="P74" s="84">
        <f t="shared" ref="P74:P94" si="30">D74-G74-J74-M74</f>
        <v>0</v>
      </c>
      <c r="Q74" s="84">
        <f t="shared" ref="Q74:Q94" si="31">E74-H74-K74-N74</f>
        <v>0</v>
      </c>
      <c r="R74" s="1166"/>
    </row>
    <row r="75" spans="1:18" s="151" customFormat="1" ht="12" customHeight="1" x14ac:dyDescent="0.2">
      <c r="A75" s="846" t="s">
        <v>85</v>
      </c>
      <c r="B75" s="244" t="s">
        <v>204</v>
      </c>
      <c r="C75" s="648"/>
      <c r="D75" s="231"/>
      <c r="E75" s="898"/>
      <c r="F75" s="231"/>
      <c r="G75" s="144"/>
      <c r="H75" s="88"/>
      <c r="I75" s="88"/>
      <c r="J75" s="88"/>
      <c r="K75" s="88"/>
      <c r="L75" s="682"/>
      <c r="M75" s="682"/>
      <c r="N75" s="682"/>
      <c r="O75" s="88">
        <f t="shared" ref="O75:O94" si="32">C75-F75-I75-L75</f>
        <v>0</v>
      </c>
      <c r="P75" s="88">
        <f t="shared" si="30"/>
        <v>0</v>
      </c>
      <c r="Q75" s="88">
        <f t="shared" si="31"/>
        <v>0</v>
      </c>
      <c r="R75" s="1166"/>
    </row>
    <row r="76" spans="1:18" s="151" customFormat="1" ht="12" customHeight="1" x14ac:dyDescent="0.2">
      <c r="A76" s="845" t="s">
        <v>86</v>
      </c>
      <c r="B76" s="244" t="s">
        <v>442</v>
      </c>
      <c r="C76" s="648"/>
      <c r="D76" s="231"/>
      <c r="E76" s="898"/>
      <c r="F76" s="231"/>
      <c r="G76" s="144"/>
      <c r="H76" s="88"/>
      <c r="I76" s="88"/>
      <c r="J76" s="88"/>
      <c r="K76" s="88"/>
      <c r="L76" s="682"/>
      <c r="M76" s="682"/>
      <c r="N76" s="682"/>
      <c r="O76" s="88">
        <f t="shared" si="32"/>
        <v>0</v>
      </c>
      <c r="P76" s="88">
        <f t="shared" si="30"/>
        <v>0</v>
      </c>
      <c r="Q76" s="88">
        <f t="shared" si="31"/>
        <v>0</v>
      </c>
      <c r="R76" s="1166"/>
    </row>
    <row r="77" spans="1:18" s="151" customFormat="1" ht="12" customHeight="1" x14ac:dyDescent="0.2">
      <c r="A77" s="845" t="s">
        <v>227</v>
      </c>
      <c r="B77" s="244" t="s">
        <v>205</v>
      </c>
      <c r="C77" s="648"/>
      <c r="D77" s="231"/>
      <c r="E77" s="898"/>
      <c r="F77" s="231"/>
      <c r="G77" s="144"/>
      <c r="H77" s="88"/>
      <c r="I77" s="88"/>
      <c r="J77" s="88"/>
      <c r="K77" s="88"/>
      <c r="L77" s="682"/>
      <c r="M77" s="682"/>
      <c r="N77" s="682"/>
      <c r="O77" s="88">
        <f t="shared" si="32"/>
        <v>0</v>
      </c>
      <c r="P77" s="88">
        <f t="shared" si="30"/>
        <v>0</v>
      </c>
      <c r="Q77" s="88">
        <f t="shared" si="31"/>
        <v>0</v>
      </c>
      <c r="R77" s="1166"/>
    </row>
    <row r="78" spans="1:18" s="151" customFormat="1" ht="12" customHeight="1" thickBot="1" x14ac:dyDescent="0.25">
      <c r="A78" s="847" t="s">
        <v>228</v>
      </c>
      <c r="B78" s="245" t="s">
        <v>443</v>
      </c>
      <c r="C78" s="648"/>
      <c r="D78" s="231"/>
      <c r="E78" s="898"/>
      <c r="F78" s="231"/>
      <c r="G78" s="144"/>
      <c r="H78" s="88"/>
      <c r="I78" s="88"/>
      <c r="J78" s="88"/>
      <c r="K78" s="88"/>
      <c r="L78" s="682"/>
      <c r="M78" s="682"/>
      <c r="N78" s="682"/>
      <c r="O78" s="88">
        <f t="shared" si="32"/>
        <v>0</v>
      </c>
      <c r="P78" s="88">
        <f t="shared" si="30"/>
        <v>0</v>
      </c>
      <c r="Q78" s="88">
        <f t="shared" si="31"/>
        <v>0</v>
      </c>
      <c r="R78" s="1166"/>
    </row>
    <row r="79" spans="1:18" s="151" customFormat="1" ht="12" customHeight="1" thickBot="1" x14ac:dyDescent="0.25">
      <c r="A79" s="891" t="s">
        <v>206</v>
      </c>
      <c r="B79" s="865" t="s">
        <v>207</v>
      </c>
      <c r="C79" s="907">
        <f t="shared" ref="C79:E79" si="33">SUM(C80:C81)</f>
        <v>856482639</v>
      </c>
      <c r="D79" s="203">
        <f t="shared" si="33"/>
        <v>856482639</v>
      </c>
      <c r="E79" s="870">
        <f t="shared" si="33"/>
        <v>856482639</v>
      </c>
      <c r="F79" s="203">
        <f>SUM(F80:F81)</f>
        <v>941573826</v>
      </c>
      <c r="G79" s="140">
        <f>SUM(G80:G81)</f>
        <v>906753757</v>
      </c>
      <c r="H79" s="84">
        <f>SUM(H80:H81)</f>
        <v>906753757</v>
      </c>
      <c r="I79" s="84">
        <f t="shared" ref="I79:K79" si="34">SUM(I80:I81)</f>
        <v>327465</v>
      </c>
      <c r="J79" s="84">
        <f t="shared" si="34"/>
        <v>330460</v>
      </c>
      <c r="K79" s="84">
        <f t="shared" si="34"/>
        <v>330460</v>
      </c>
      <c r="L79" s="678">
        <v>26067184</v>
      </c>
      <c r="M79" s="678">
        <v>25967633</v>
      </c>
      <c r="N79" s="678">
        <v>25967633</v>
      </c>
      <c r="O79" s="84">
        <f t="shared" si="32"/>
        <v>-111485836</v>
      </c>
      <c r="P79" s="84">
        <f t="shared" si="30"/>
        <v>-76569211</v>
      </c>
      <c r="Q79" s="84">
        <f t="shared" si="31"/>
        <v>-76569211</v>
      </c>
      <c r="R79" s="1166"/>
    </row>
    <row r="80" spans="1:18" s="151" customFormat="1" ht="12" customHeight="1" x14ac:dyDescent="0.2">
      <c r="A80" s="846" t="s">
        <v>229</v>
      </c>
      <c r="B80" s="881" t="s">
        <v>208</v>
      </c>
      <c r="C80" s="822">
        <v>856482639</v>
      </c>
      <c r="D80" s="231">
        <v>856482639</v>
      </c>
      <c r="E80" s="898">
        <v>856325728</v>
      </c>
      <c r="F80" s="231">
        <v>941573826</v>
      </c>
      <c r="G80" s="144">
        <v>906753757</v>
      </c>
      <c r="H80" s="88">
        <v>906753757</v>
      </c>
      <c r="I80" s="88">
        <v>327465</v>
      </c>
      <c r="J80" s="88">
        <v>330460</v>
      </c>
      <c r="K80" s="88">
        <v>330460</v>
      </c>
      <c r="L80" s="682">
        <v>26067184</v>
      </c>
      <c r="M80" s="682">
        <v>25967633</v>
      </c>
      <c r="N80" s="682">
        <v>25967633</v>
      </c>
      <c r="O80" s="88">
        <f t="shared" si="32"/>
        <v>-111485836</v>
      </c>
      <c r="P80" s="88">
        <f t="shared" si="30"/>
        <v>-76569211</v>
      </c>
      <c r="Q80" s="88">
        <f t="shared" si="31"/>
        <v>-76726122</v>
      </c>
      <c r="R80" s="1166"/>
    </row>
    <row r="81" spans="1:18" s="151" customFormat="1" ht="12" customHeight="1" thickBot="1" x14ac:dyDescent="0.25">
      <c r="A81" s="847" t="s">
        <v>230</v>
      </c>
      <c r="B81" s="867" t="s">
        <v>209</v>
      </c>
      <c r="C81" s="648"/>
      <c r="D81" s="231"/>
      <c r="E81" s="898">
        <v>156911</v>
      </c>
      <c r="F81" s="231"/>
      <c r="G81" s="144"/>
      <c r="H81" s="88"/>
      <c r="I81" s="88"/>
      <c r="J81" s="88"/>
      <c r="K81" s="88"/>
      <c r="L81" s="682"/>
      <c r="M81" s="682"/>
      <c r="N81" s="682"/>
      <c r="O81" s="88">
        <f t="shared" si="32"/>
        <v>0</v>
      </c>
      <c r="P81" s="88">
        <f t="shared" si="30"/>
        <v>0</v>
      </c>
      <c r="Q81" s="88">
        <f t="shared" si="31"/>
        <v>156911</v>
      </c>
      <c r="R81" s="1166"/>
    </row>
    <row r="82" spans="1:18" s="151" customFormat="1" ht="12" customHeight="1" thickBot="1" x14ac:dyDescent="0.25">
      <c r="A82" s="891" t="s">
        <v>210</v>
      </c>
      <c r="B82" s="865" t="s">
        <v>211</v>
      </c>
      <c r="C82" s="907">
        <f t="shared" ref="C82:E82" si="35">SUM(C83:C85)</f>
        <v>48966750</v>
      </c>
      <c r="D82" s="203">
        <f t="shared" si="35"/>
        <v>48966750</v>
      </c>
      <c r="E82" s="870">
        <f t="shared" si="35"/>
        <v>55076107</v>
      </c>
      <c r="F82" s="203">
        <f>SUM(F83:F85)</f>
        <v>0</v>
      </c>
      <c r="G82" s="140">
        <f>SUM(G83:G85)</f>
        <v>48966750</v>
      </c>
      <c r="H82" s="84">
        <f>SUM(H83:H85)</f>
        <v>48966750</v>
      </c>
      <c r="I82" s="84">
        <f t="shared" ref="I82:K82" si="36">SUM(I83:I85)</f>
        <v>0</v>
      </c>
      <c r="J82" s="84">
        <f t="shared" si="36"/>
        <v>0</v>
      </c>
      <c r="K82" s="84">
        <f t="shared" si="36"/>
        <v>0</v>
      </c>
      <c r="L82" s="678"/>
      <c r="M82" s="678"/>
      <c r="N82" s="678"/>
      <c r="O82" s="84">
        <f t="shared" si="32"/>
        <v>48966750</v>
      </c>
      <c r="P82" s="84">
        <f t="shared" si="30"/>
        <v>0</v>
      </c>
      <c r="Q82" s="84">
        <f t="shared" si="31"/>
        <v>6109357</v>
      </c>
      <c r="R82" s="1166"/>
    </row>
    <row r="83" spans="1:18" s="151" customFormat="1" ht="12" customHeight="1" x14ac:dyDescent="0.2">
      <c r="A83" s="846" t="s">
        <v>231</v>
      </c>
      <c r="B83" s="881" t="s">
        <v>212</v>
      </c>
      <c r="C83" s="822">
        <v>48966750</v>
      </c>
      <c r="D83" s="231">
        <v>48966750</v>
      </c>
      <c r="E83" s="898">
        <v>55076107</v>
      </c>
      <c r="F83" s="231">
        <v>0</v>
      </c>
      <c r="G83" s="144">
        <v>48966750</v>
      </c>
      <c r="H83" s="88">
        <v>48966750</v>
      </c>
      <c r="I83" s="88">
        <v>0</v>
      </c>
      <c r="J83" s="88"/>
      <c r="K83" s="88"/>
      <c r="L83" s="682"/>
      <c r="M83" s="682"/>
      <c r="N83" s="682"/>
      <c r="O83" s="88">
        <f t="shared" si="32"/>
        <v>48966750</v>
      </c>
      <c r="P83" s="88">
        <f t="shared" si="30"/>
        <v>0</v>
      </c>
      <c r="Q83" s="88">
        <f t="shared" si="31"/>
        <v>6109357</v>
      </c>
      <c r="R83" s="1166"/>
    </row>
    <row r="84" spans="1:18" s="151" customFormat="1" ht="12" customHeight="1" x14ac:dyDescent="0.2">
      <c r="A84" s="845" t="s">
        <v>232</v>
      </c>
      <c r="B84" s="882" t="s">
        <v>213</v>
      </c>
      <c r="C84" s="648"/>
      <c r="D84" s="231"/>
      <c r="E84" s="898"/>
      <c r="F84" s="231"/>
      <c r="G84" s="144"/>
      <c r="H84" s="88"/>
      <c r="I84" s="88"/>
      <c r="J84" s="88"/>
      <c r="K84" s="88"/>
      <c r="L84" s="682"/>
      <c r="M84" s="682"/>
      <c r="N84" s="682"/>
      <c r="O84" s="88">
        <f t="shared" si="32"/>
        <v>0</v>
      </c>
      <c r="P84" s="88">
        <f t="shared" si="30"/>
        <v>0</v>
      </c>
      <c r="Q84" s="88">
        <f t="shared" si="31"/>
        <v>0</v>
      </c>
      <c r="R84" s="1166"/>
    </row>
    <row r="85" spans="1:18" s="151" customFormat="1" ht="12" customHeight="1" thickBot="1" x14ac:dyDescent="0.25">
      <c r="A85" s="847" t="s">
        <v>233</v>
      </c>
      <c r="B85" s="867" t="s">
        <v>444</v>
      </c>
      <c r="C85" s="648"/>
      <c r="D85" s="231"/>
      <c r="E85" s="898"/>
      <c r="F85" s="231"/>
      <c r="G85" s="144"/>
      <c r="H85" s="88"/>
      <c r="I85" s="88"/>
      <c r="J85" s="88"/>
      <c r="K85" s="88"/>
      <c r="L85" s="682"/>
      <c r="M85" s="682"/>
      <c r="N85" s="682"/>
      <c r="O85" s="88">
        <f t="shared" si="32"/>
        <v>0</v>
      </c>
      <c r="P85" s="88">
        <f t="shared" si="30"/>
        <v>0</v>
      </c>
      <c r="Q85" s="88">
        <f t="shared" si="31"/>
        <v>0</v>
      </c>
      <c r="R85" s="1166"/>
    </row>
    <row r="86" spans="1:18" s="151" customFormat="1" ht="12" customHeight="1" thickBot="1" x14ac:dyDescent="0.25">
      <c r="A86" s="891" t="s">
        <v>214</v>
      </c>
      <c r="B86" s="865" t="s">
        <v>234</v>
      </c>
      <c r="C86" s="907">
        <f t="shared" ref="C86:E86" si="37">SUM(C87:C90)</f>
        <v>0</v>
      </c>
      <c r="D86" s="203">
        <f t="shared" si="37"/>
        <v>0</v>
      </c>
      <c r="E86" s="870">
        <f t="shared" si="37"/>
        <v>0</v>
      </c>
      <c r="F86" s="203">
        <f>SUM(F87:F90)</f>
        <v>0</v>
      </c>
      <c r="G86" s="140">
        <f>SUM(G87:G90)</f>
        <v>0</v>
      </c>
      <c r="H86" s="84">
        <f>SUM(H87:H90)</f>
        <v>0</v>
      </c>
      <c r="I86" s="84">
        <f t="shared" ref="I86:K86" si="38">SUM(I87:I90)</f>
        <v>0</v>
      </c>
      <c r="J86" s="84">
        <f t="shared" si="38"/>
        <v>0</v>
      </c>
      <c r="K86" s="84">
        <f t="shared" si="38"/>
        <v>0</v>
      </c>
      <c r="L86" s="678"/>
      <c r="M86" s="678"/>
      <c r="N86" s="678"/>
      <c r="O86" s="84">
        <f t="shared" si="32"/>
        <v>0</v>
      </c>
      <c r="P86" s="84">
        <f t="shared" si="30"/>
        <v>0</v>
      </c>
      <c r="Q86" s="84">
        <f t="shared" si="31"/>
        <v>0</v>
      </c>
      <c r="R86" s="1166"/>
    </row>
    <row r="87" spans="1:18" s="151" customFormat="1" ht="12" customHeight="1" x14ac:dyDescent="0.2">
      <c r="A87" s="884" t="s">
        <v>215</v>
      </c>
      <c r="B87" s="881" t="s">
        <v>216</v>
      </c>
      <c r="C87" s="648"/>
      <c r="D87" s="231"/>
      <c r="E87" s="898"/>
      <c r="F87" s="231"/>
      <c r="G87" s="144"/>
      <c r="H87" s="88"/>
      <c r="I87" s="88"/>
      <c r="J87" s="88"/>
      <c r="K87" s="88"/>
      <c r="L87" s="682"/>
      <c r="M87" s="682"/>
      <c r="N87" s="682"/>
      <c r="O87" s="88">
        <f t="shared" si="32"/>
        <v>0</v>
      </c>
      <c r="P87" s="88">
        <f t="shared" si="30"/>
        <v>0</v>
      </c>
      <c r="Q87" s="88">
        <f t="shared" si="31"/>
        <v>0</v>
      </c>
      <c r="R87" s="1166"/>
    </row>
    <row r="88" spans="1:18" s="151" customFormat="1" ht="12" customHeight="1" x14ac:dyDescent="0.2">
      <c r="A88" s="885" t="s">
        <v>217</v>
      </c>
      <c r="B88" s="882" t="s">
        <v>218</v>
      </c>
      <c r="C88" s="648"/>
      <c r="D88" s="231"/>
      <c r="E88" s="898"/>
      <c r="F88" s="231"/>
      <c r="G88" s="144"/>
      <c r="H88" s="88"/>
      <c r="I88" s="88"/>
      <c r="J88" s="88"/>
      <c r="K88" s="88"/>
      <c r="L88" s="682"/>
      <c r="M88" s="682"/>
      <c r="N88" s="682"/>
      <c r="O88" s="88">
        <f t="shared" si="32"/>
        <v>0</v>
      </c>
      <c r="P88" s="88">
        <f t="shared" si="30"/>
        <v>0</v>
      </c>
      <c r="Q88" s="88">
        <f t="shared" si="31"/>
        <v>0</v>
      </c>
      <c r="R88" s="1166"/>
    </row>
    <row r="89" spans="1:18" s="151" customFormat="1" ht="12" customHeight="1" x14ac:dyDescent="0.2">
      <c r="A89" s="885" t="s">
        <v>219</v>
      </c>
      <c r="B89" s="882" t="s">
        <v>220</v>
      </c>
      <c r="C89" s="648"/>
      <c r="D89" s="231"/>
      <c r="E89" s="898"/>
      <c r="F89" s="231"/>
      <c r="G89" s="144"/>
      <c r="H89" s="88"/>
      <c r="I89" s="88"/>
      <c r="J89" s="88"/>
      <c r="K89" s="88"/>
      <c r="L89" s="682"/>
      <c r="M89" s="682"/>
      <c r="N89" s="682"/>
      <c r="O89" s="88">
        <f t="shared" si="32"/>
        <v>0</v>
      </c>
      <c r="P89" s="88">
        <f t="shared" si="30"/>
        <v>0</v>
      </c>
      <c r="Q89" s="88">
        <f t="shared" si="31"/>
        <v>0</v>
      </c>
      <c r="R89" s="1166"/>
    </row>
    <row r="90" spans="1:18" s="151" customFormat="1" ht="12" customHeight="1" thickBot="1" x14ac:dyDescent="0.25">
      <c r="A90" s="886" t="s">
        <v>221</v>
      </c>
      <c r="B90" s="867" t="s">
        <v>222</v>
      </c>
      <c r="C90" s="648"/>
      <c r="D90" s="231"/>
      <c r="E90" s="898"/>
      <c r="F90" s="231"/>
      <c r="G90" s="144"/>
      <c r="H90" s="88"/>
      <c r="I90" s="88"/>
      <c r="J90" s="88"/>
      <c r="K90" s="88"/>
      <c r="L90" s="682"/>
      <c r="M90" s="682"/>
      <c r="N90" s="682"/>
      <c r="O90" s="88">
        <f t="shared" si="32"/>
        <v>0</v>
      </c>
      <c r="P90" s="88">
        <f t="shared" si="30"/>
        <v>0</v>
      </c>
      <c r="Q90" s="88">
        <f t="shared" si="31"/>
        <v>0</v>
      </c>
      <c r="R90" s="1166"/>
    </row>
    <row r="91" spans="1:18" s="151" customFormat="1" ht="12" customHeight="1" thickBot="1" x14ac:dyDescent="0.25">
      <c r="A91" s="891" t="s">
        <v>223</v>
      </c>
      <c r="B91" s="865" t="s">
        <v>347</v>
      </c>
      <c r="C91" s="904"/>
      <c r="D91" s="833"/>
      <c r="E91" s="902"/>
      <c r="F91" s="833"/>
      <c r="G91" s="184"/>
      <c r="H91" s="185"/>
      <c r="I91" s="185"/>
      <c r="J91" s="185"/>
      <c r="K91" s="185"/>
      <c r="L91" s="690"/>
      <c r="M91" s="690"/>
      <c r="N91" s="690"/>
      <c r="O91" s="185">
        <f t="shared" si="32"/>
        <v>0</v>
      </c>
      <c r="P91" s="185">
        <f t="shared" si="30"/>
        <v>0</v>
      </c>
      <c r="Q91" s="185">
        <f t="shared" si="31"/>
        <v>0</v>
      </c>
      <c r="R91" s="1166"/>
    </row>
    <row r="92" spans="1:18" s="151" customFormat="1" ht="13.5" customHeight="1" thickBot="1" x14ac:dyDescent="0.25">
      <c r="A92" s="891" t="s">
        <v>225</v>
      </c>
      <c r="B92" s="865" t="s">
        <v>224</v>
      </c>
      <c r="C92" s="904"/>
      <c r="D92" s="833"/>
      <c r="E92" s="902"/>
      <c r="F92" s="833"/>
      <c r="G92" s="184"/>
      <c r="H92" s="185"/>
      <c r="I92" s="185"/>
      <c r="J92" s="185"/>
      <c r="K92" s="185"/>
      <c r="L92" s="690"/>
      <c r="M92" s="690"/>
      <c r="N92" s="690"/>
      <c r="O92" s="185">
        <f t="shared" si="32"/>
        <v>0</v>
      </c>
      <c r="P92" s="185">
        <f t="shared" si="30"/>
        <v>0</v>
      </c>
      <c r="Q92" s="185">
        <f t="shared" si="31"/>
        <v>0</v>
      </c>
      <c r="R92" s="1166"/>
    </row>
    <row r="93" spans="1:18" s="151" customFormat="1" ht="15.75" customHeight="1" thickBot="1" x14ac:dyDescent="0.25">
      <c r="A93" s="891" t="s">
        <v>237</v>
      </c>
      <c r="B93" s="887" t="s">
        <v>350</v>
      </c>
      <c r="C93" s="688">
        <f t="shared" ref="C93:E93" si="39">+C70+C74+C79+C82+C86+C92+C91</f>
        <v>1774011918</v>
      </c>
      <c r="D93" s="207">
        <f>+D70+D74+D79+D82+D86+D92+D91</f>
        <v>2094509705</v>
      </c>
      <c r="E93" s="874">
        <f t="shared" si="39"/>
        <v>1926559314</v>
      </c>
      <c r="F93" s="207">
        <f>+F70+F74+F79+F82+F86+F92+F91</f>
        <v>1683985725</v>
      </c>
      <c r="G93" s="146">
        <f>+G70+G74+G79+G82+G86+G92+G91</f>
        <v>1810446361</v>
      </c>
      <c r="H93" s="172">
        <f>+H70+H74+H79+H82+H86+H92+H91</f>
        <v>1798194988</v>
      </c>
      <c r="I93" s="172">
        <f t="shared" ref="I93:K93" si="40">+I70+I74+I79+I82+I86+I92+I91</f>
        <v>327465</v>
      </c>
      <c r="J93" s="172">
        <f t="shared" si="40"/>
        <v>330460</v>
      </c>
      <c r="K93" s="172">
        <f t="shared" si="40"/>
        <v>330460</v>
      </c>
      <c r="L93" s="689">
        <v>26067184</v>
      </c>
      <c r="M93" s="689">
        <v>25967633</v>
      </c>
      <c r="N93" s="689">
        <v>25967633</v>
      </c>
      <c r="O93" s="172">
        <f t="shared" si="32"/>
        <v>63631544</v>
      </c>
      <c r="P93" s="172">
        <f t="shared" si="30"/>
        <v>257765251</v>
      </c>
      <c r="Q93" s="172">
        <f t="shared" si="31"/>
        <v>102066233</v>
      </c>
      <c r="R93" s="1166"/>
    </row>
    <row r="94" spans="1:18" s="151" customFormat="1" ht="25.5" customHeight="1" thickBot="1" x14ac:dyDescent="0.25">
      <c r="A94" s="893" t="s">
        <v>349</v>
      </c>
      <c r="B94" s="888" t="s">
        <v>351</v>
      </c>
      <c r="C94" s="688">
        <f t="shared" ref="C94:E94" si="41">+C69+C93</f>
        <v>4733008687</v>
      </c>
      <c r="D94" s="207">
        <f t="shared" si="41"/>
        <v>7051629242</v>
      </c>
      <c r="E94" s="874">
        <f t="shared" si="41"/>
        <v>6580193260</v>
      </c>
      <c r="F94" s="207">
        <f>+F69+F93</f>
        <v>3942491925</v>
      </c>
      <c r="G94" s="146">
        <f>+G69+G93</f>
        <v>4483699155</v>
      </c>
      <c r="H94" s="172">
        <f>+H69+H93</f>
        <v>4058969871</v>
      </c>
      <c r="I94" s="172">
        <f t="shared" ref="I94:K94" si="42">+I69+I93</f>
        <v>10810079</v>
      </c>
      <c r="J94" s="172">
        <f t="shared" si="42"/>
        <v>10813074</v>
      </c>
      <c r="K94" s="172">
        <f t="shared" si="42"/>
        <v>10044769</v>
      </c>
      <c r="L94" s="689">
        <v>432278603</v>
      </c>
      <c r="M94" s="689">
        <v>421208451</v>
      </c>
      <c r="N94" s="689">
        <v>316584869</v>
      </c>
      <c r="O94" s="172">
        <f t="shared" si="32"/>
        <v>347428080</v>
      </c>
      <c r="P94" s="172">
        <f t="shared" si="30"/>
        <v>2135908562</v>
      </c>
      <c r="Q94" s="172">
        <f t="shared" si="31"/>
        <v>2194593751</v>
      </c>
      <c r="R94" s="1166"/>
    </row>
    <row r="95" spans="1:18" s="151" customFormat="1" ht="15.2" customHeight="1" x14ac:dyDescent="0.2">
      <c r="A95" s="3"/>
      <c r="B95" s="4"/>
      <c r="C95" s="94"/>
      <c r="R95" s="1166"/>
    </row>
    <row r="96" spans="1:18" ht="16.5" customHeight="1" x14ac:dyDescent="0.25">
      <c r="A96" s="1332" t="s">
        <v>34</v>
      </c>
      <c r="B96" s="1332"/>
      <c r="C96" s="1332"/>
      <c r="D96" s="1332"/>
      <c r="E96" s="1332"/>
      <c r="R96" s="1166"/>
    </row>
    <row r="97" spans="1:20" s="157" customFormat="1" ht="16.5" customHeight="1" thickBot="1" x14ac:dyDescent="0.3">
      <c r="A97" s="1334" t="s">
        <v>88</v>
      </c>
      <c r="B97" s="1334"/>
      <c r="C97" s="45"/>
      <c r="E97" s="45" t="str">
        <f t="shared" ref="E97:Q97" si="43">E7</f>
        <v xml:space="preserve"> Forintban!</v>
      </c>
      <c r="F97" s="45">
        <f t="shared" si="43"/>
        <v>0</v>
      </c>
      <c r="G97" s="45">
        <f t="shared" si="43"/>
        <v>0</v>
      </c>
      <c r="H97" s="45">
        <f t="shared" si="43"/>
        <v>0</v>
      </c>
      <c r="I97" s="45">
        <f t="shared" si="43"/>
        <v>0</v>
      </c>
      <c r="J97" s="45">
        <f t="shared" si="43"/>
        <v>0</v>
      </c>
      <c r="K97" s="45">
        <f t="shared" si="43"/>
        <v>0</v>
      </c>
      <c r="L97" s="45">
        <f t="shared" si="43"/>
        <v>0</v>
      </c>
      <c r="M97" s="45">
        <f t="shared" si="43"/>
        <v>0</v>
      </c>
      <c r="N97" s="45">
        <f t="shared" si="43"/>
        <v>0</v>
      </c>
      <c r="O97" s="45">
        <f t="shared" si="43"/>
        <v>0</v>
      </c>
      <c r="P97" s="45">
        <f t="shared" si="43"/>
        <v>0</v>
      </c>
      <c r="Q97" s="45">
        <f t="shared" si="43"/>
        <v>0</v>
      </c>
      <c r="R97" s="1166"/>
    </row>
    <row r="98" spans="1:20" x14ac:dyDescent="0.25">
      <c r="A98" s="1320" t="s">
        <v>51</v>
      </c>
      <c r="B98" s="1322" t="s">
        <v>386</v>
      </c>
      <c r="C98" s="1327" t="s">
        <v>889</v>
      </c>
      <c r="D98" s="1328"/>
      <c r="E98" s="1329"/>
      <c r="F98" s="1311" t="s">
        <v>782</v>
      </c>
      <c r="G98" s="1311"/>
      <c r="H98" s="1313"/>
      <c r="I98" s="1310" t="s">
        <v>788</v>
      </c>
      <c r="J98" s="1311"/>
      <c r="K98" s="1313"/>
      <c r="L98" s="1310" t="s">
        <v>789</v>
      </c>
      <c r="M98" s="1311"/>
      <c r="N98" s="1311"/>
      <c r="O98" s="1310" t="s">
        <v>789</v>
      </c>
      <c r="P98" s="1311"/>
      <c r="Q98" s="1311"/>
      <c r="R98" s="1166"/>
    </row>
    <row r="99" spans="1:20" ht="24.75" thickBot="1" x14ac:dyDescent="0.3">
      <c r="A99" s="1321"/>
      <c r="B99" s="1323"/>
      <c r="C99" s="821" t="s">
        <v>384</v>
      </c>
      <c r="D99" s="805" t="s">
        <v>385</v>
      </c>
      <c r="E99" s="246" t="s">
        <v>890</v>
      </c>
      <c r="F99" s="825" t="str">
        <f t="shared" ref="F99:Q99" si="44">CONCATENATE(F9)</f>
        <v>Eredeti
előirányzat</v>
      </c>
      <c r="G99" s="246" t="str">
        <f t="shared" si="44"/>
        <v>Módosított
előirányzat</v>
      </c>
      <c r="H99" s="246" t="str">
        <f t="shared" si="44"/>
        <v>2021. XII. 31.
teljesítés</v>
      </c>
      <c r="I99" s="246" t="str">
        <f t="shared" si="44"/>
        <v>Eredeti
előirányzat</v>
      </c>
      <c r="J99" s="246" t="str">
        <f t="shared" si="44"/>
        <v>Módosított
előirányzat</v>
      </c>
      <c r="K99" s="246" t="str">
        <f t="shared" si="44"/>
        <v>2021. XII. 31.
teljesítés</v>
      </c>
      <c r="L99" s="246" t="str">
        <f t="shared" si="44"/>
        <v>Eredeti
előirányzat</v>
      </c>
      <c r="M99" s="246" t="str">
        <f t="shared" si="44"/>
        <v>Módosított
előirányzat</v>
      </c>
      <c r="N99" s="246" t="str">
        <f t="shared" si="44"/>
        <v>2021. XII. 31.
teljesítés</v>
      </c>
      <c r="O99" s="246" t="str">
        <f t="shared" si="44"/>
        <v>Eredeti
előirányzat</v>
      </c>
      <c r="P99" s="246" t="str">
        <f t="shared" si="44"/>
        <v>Módosított
előirányzat</v>
      </c>
      <c r="Q99" s="246" t="str">
        <f t="shared" si="44"/>
        <v>2021. XII. 31.
teljesítés</v>
      </c>
      <c r="R99" s="1166"/>
    </row>
    <row r="100" spans="1:20" s="150" customFormat="1" ht="12" customHeight="1" thickBot="1" x14ac:dyDescent="0.25">
      <c r="A100" s="855" t="s">
        <v>354</v>
      </c>
      <c r="B100" s="856" t="s">
        <v>355</v>
      </c>
      <c r="C100" s="903" t="s">
        <v>356</v>
      </c>
      <c r="D100" s="856" t="s">
        <v>358</v>
      </c>
      <c r="E100" s="857" t="s">
        <v>357</v>
      </c>
      <c r="F100" s="211" t="s">
        <v>357</v>
      </c>
      <c r="G100" s="211" t="s">
        <v>357</v>
      </c>
      <c r="H100" s="211" t="s">
        <v>357</v>
      </c>
      <c r="I100" s="211" t="s">
        <v>357</v>
      </c>
      <c r="J100" s="211" t="s">
        <v>357</v>
      </c>
      <c r="K100" s="211" t="s">
        <v>357</v>
      </c>
      <c r="L100" s="211" t="s">
        <v>357</v>
      </c>
      <c r="M100" s="211" t="s">
        <v>357</v>
      </c>
      <c r="N100" s="211" t="s">
        <v>357</v>
      </c>
      <c r="O100" s="211" t="s">
        <v>357</v>
      </c>
      <c r="P100" s="211" t="s">
        <v>357</v>
      </c>
      <c r="Q100" s="211" t="s">
        <v>357</v>
      </c>
      <c r="R100" s="1166"/>
    </row>
    <row r="101" spans="1:20" ht="12" customHeight="1" thickBot="1" x14ac:dyDescent="0.3">
      <c r="A101" s="853" t="s">
        <v>6</v>
      </c>
      <c r="B101" s="854" t="s">
        <v>966</v>
      </c>
      <c r="C101" s="824">
        <f t="shared" ref="C101:H101" si="45">+C102+C103+C104+C105+C106+C118</f>
        <v>2831433172</v>
      </c>
      <c r="D101" s="656">
        <f t="shared" si="45"/>
        <v>3067208101</v>
      </c>
      <c r="E101" s="869">
        <f t="shared" si="45"/>
        <v>2491515088</v>
      </c>
      <c r="F101" s="836">
        <f t="shared" si="45"/>
        <v>842994124</v>
      </c>
      <c r="G101" s="139">
        <f t="shared" si="45"/>
        <v>851380258</v>
      </c>
      <c r="H101" s="187">
        <f t="shared" si="45"/>
        <v>531821820</v>
      </c>
      <c r="I101" s="187">
        <f>I102+I103+I104+I105+I106+I118</f>
        <v>238584857</v>
      </c>
      <c r="J101" s="187">
        <f>J102+J103+J104+J105+J106+J118</f>
        <v>228185304</v>
      </c>
      <c r="K101" s="187">
        <f>K102+K103+K104+K105+K106+K118</f>
        <v>208507199</v>
      </c>
      <c r="L101" s="691">
        <v>1662312341</v>
      </c>
      <c r="M101" s="691">
        <v>1637868076</v>
      </c>
      <c r="N101" s="691">
        <v>1494093819</v>
      </c>
      <c r="O101" s="187">
        <f t="shared" ref="O101:O161" si="46">C101-F101-I101-L101</f>
        <v>87541850</v>
      </c>
      <c r="P101" s="187">
        <f t="shared" ref="P101:P161" si="47">D101-G101-J101-M101</f>
        <v>349774463</v>
      </c>
      <c r="Q101" s="187">
        <f t="shared" ref="Q101:Q161" si="48">E101-H101-K101-N101</f>
        <v>257092250</v>
      </c>
      <c r="R101" s="1166"/>
    </row>
    <row r="102" spans="1:20" ht="12" customHeight="1" x14ac:dyDescent="0.25">
      <c r="A102" s="848" t="s">
        <v>63</v>
      </c>
      <c r="B102" s="841" t="s">
        <v>35</v>
      </c>
      <c r="C102" s="835">
        <v>1258326512</v>
      </c>
      <c r="D102" s="657">
        <v>1267250778</v>
      </c>
      <c r="E102" s="826">
        <v>1196056088</v>
      </c>
      <c r="F102" s="831">
        <v>58196818</v>
      </c>
      <c r="G102" s="194">
        <v>52491173</v>
      </c>
      <c r="H102" s="188">
        <v>47379520</v>
      </c>
      <c r="I102" s="188">
        <v>164405869</v>
      </c>
      <c r="J102" s="188">
        <v>158618530</v>
      </c>
      <c r="K102" s="188">
        <v>150658621</v>
      </c>
      <c r="L102" s="692">
        <v>955086193</v>
      </c>
      <c r="M102" s="692">
        <v>985030638</v>
      </c>
      <c r="N102" s="692">
        <v>909336543</v>
      </c>
      <c r="O102" s="188">
        <f t="shared" si="46"/>
        <v>80637632</v>
      </c>
      <c r="P102" s="188">
        <f t="shared" si="47"/>
        <v>71110437</v>
      </c>
      <c r="Q102" s="188">
        <f t="shared" si="48"/>
        <v>88681404</v>
      </c>
      <c r="R102" s="1166"/>
      <c r="S102" s="795"/>
      <c r="T102" s="795"/>
    </row>
    <row r="103" spans="1:20" ht="12" customHeight="1" x14ac:dyDescent="0.25">
      <c r="A103" s="845" t="s">
        <v>64</v>
      </c>
      <c r="B103" s="839" t="s">
        <v>109</v>
      </c>
      <c r="C103" s="809">
        <v>215518047</v>
      </c>
      <c r="D103" s="906">
        <v>214274564</v>
      </c>
      <c r="E103" s="871">
        <v>198856561</v>
      </c>
      <c r="F103" s="205">
        <v>10227471</v>
      </c>
      <c r="G103" s="141">
        <v>9720825</v>
      </c>
      <c r="H103" s="85">
        <v>7915622</v>
      </c>
      <c r="I103" s="85">
        <v>32731163</v>
      </c>
      <c r="J103" s="85">
        <v>31100066</v>
      </c>
      <c r="K103" s="85">
        <v>27671445</v>
      </c>
      <c r="L103" s="679">
        <v>181050916</v>
      </c>
      <c r="M103" s="679">
        <v>180748089</v>
      </c>
      <c r="N103" s="679">
        <v>164557394</v>
      </c>
      <c r="O103" s="85">
        <f t="shared" si="46"/>
        <v>-8491503</v>
      </c>
      <c r="P103" s="85">
        <f t="shared" si="47"/>
        <v>-7294416</v>
      </c>
      <c r="Q103" s="85">
        <f t="shared" si="48"/>
        <v>-1287900</v>
      </c>
      <c r="R103" s="1166"/>
      <c r="S103" s="795"/>
      <c r="T103" s="795"/>
    </row>
    <row r="104" spans="1:20" ht="12" customHeight="1" x14ac:dyDescent="0.25">
      <c r="A104" s="845" t="s">
        <v>65</v>
      </c>
      <c r="B104" s="839" t="s">
        <v>83</v>
      </c>
      <c r="C104" s="830">
        <v>985774764</v>
      </c>
      <c r="D104" s="687">
        <v>1196861314</v>
      </c>
      <c r="E104" s="873">
        <v>845928120</v>
      </c>
      <c r="F104" s="206">
        <v>369693539</v>
      </c>
      <c r="G104" s="141">
        <v>423796436</v>
      </c>
      <c r="H104" s="87">
        <v>291919582</v>
      </c>
      <c r="I104" s="87">
        <v>41447825</v>
      </c>
      <c r="J104" s="87">
        <v>38466708</v>
      </c>
      <c r="K104" s="87">
        <v>30177133</v>
      </c>
      <c r="L104" s="681">
        <v>526172732</v>
      </c>
      <c r="M104" s="681">
        <v>472086849</v>
      </c>
      <c r="N104" s="681">
        <v>420197382</v>
      </c>
      <c r="O104" s="87">
        <f t="shared" si="46"/>
        <v>48460668</v>
      </c>
      <c r="P104" s="87">
        <f t="shared" si="47"/>
        <v>262511321</v>
      </c>
      <c r="Q104" s="87">
        <f t="shared" si="48"/>
        <v>103634023</v>
      </c>
      <c r="R104" s="1166"/>
      <c r="S104" s="795"/>
      <c r="T104" s="795"/>
    </row>
    <row r="105" spans="1:20" ht="12" customHeight="1" x14ac:dyDescent="0.25">
      <c r="A105" s="845" t="s">
        <v>66</v>
      </c>
      <c r="B105" s="842" t="s">
        <v>110</v>
      </c>
      <c r="C105" s="830">
        <v>56500000</v>
      </c>
      <c r="D105" s="687">
        <v>49000000</v>
      </c>
      <c r="E105" s="873">
        <v>37424380</v>
      </c>
      <c r="F105" s="206">
        <v>61300000</v>
      </c>
      <c r="G105" s="206">
        <v>61300000</v>
      </c>
      <c r="H105" s="87">
        <v>46911174</v>
      </c>
      <c r="I105" s="87"/>
      <c r="J105" s="87"/>
      <c r="K105" s="87"/>
      <c r="L105" s="681"/>
      <c r="M105" s="681"/>
      <c r="N105" s="681"/>
      <c r="O105" s="87">
        <f t="shared" si="46"/>
        <v>-4800000</v>
      </c>
      <c r="P105" s="87">
        <f t="shared" si="47"/>
        <v>-12300000</v>
      </c>
      <c r="Q105" s="87">
        <f t="shared" si="48"/>
        <v>-9486794</v>
      </c>
      <c r="R105" s="1166"/>
      <c r="S105" s="795"/>
      <c r="T105" s="795"/>
    </row>
    <row r="106" spans="1:20" ht="12" customHeight="1" x14ac:dyDescent="0.25">
      <c r="A106" s="845" t="s">
        <v>74</v>
      </c>
      <c r="B106" s="850" t="s">
        <v>111</v>
      </c>
      <c r="C106" s="830">
        <v>198934698</v>
      </c>
      <c r="D106" s="687">
        <v>258604322</v>
      </c>
      <c r="E106" s="873">
        <f t="shared" ref="E106:N106" si="49">SUM(E107:E117)</f>
        <v>213249939</v>
      </c>
      <c r="F106" s="206">
        <f t="shared" si="49"/>
        <v>210335458</v>
      </c>
      <c r="G106" s="143">
        <f t="shared" si="49"/>
        <v>204851042</v>
      </c>
      <c r="H106" s="143">
        <f t="shared" si="49"/>
        <v>137695922</v>
      </c>
      <c r="I106" s="143">
        <f t="shared" si="49"/>
        <v>0</v>
      </c>
      <c r="J106" s="143">
        <f t="shared" si="49"/>
        <v>0</v>
      </c>
      <c r="K106" s="143">
        <f t="shared" si="49"/>
        <v>0</v>
      </c>
      <c r="L106" s="687">
        <f t="shared" si="49"/>
        <v>2500</v>
      </c>
      <c r="M106" s="687">
        <f t="shared" si="49"/>
        <v>2500</v>
      </c>
      <c r="N106" s="687">
        <f t="shared" si="49"/>
        <v>2500</v>
      </c>
      <c r="O106" s="143">
        <f t="shared" si="46"/>
        <v>-11403260</v>
      </c>
      <c r="P106" s="143">
        <f t="shared" si="47"/>
        <v>53750780</v>
      </c>
      <c r="Q106" s="143">
        <f t="shared" si="48"/>
        <v>75551517</v>
      </c>
      <c r="R106" s="1166"/>
    </row>
    <row r="107" spans="1:20" ht="12" customHeight="1" x14ac:dyDescent="0.25">
      <c r="A107" s="845" t="s">
        <v>67</v>
      </c>
      <c r="B107" s="839" t="s">
        <v>315</v>
      </c>
      <c r="C107" s="830">
        <v>140000</v>
      </c>
      <c r="D107" s="687">
        <v>17242997</v>
      </c>
      <c r="E107" s="873">
        <v>17102997</v>
      </c>
      <c r="F107" s="206">
        <v>0</v>
      </c>
      <c r="G107" s="206">
        <v>792176</v>
      </c>
      <c r="H107" s="87">
        <v>792176</v>
      </c>
      <c r="I107" s="87"/>
      <c r="J107" s="87"/>
      <c r="K107" s="87"/>
      <c r="L107" s="681"/>
      <c r="M107" s="681"/>
      <c r="N107" s="681"/>
      <c r="O107" s="87">
        <f t="shared" si="46"/>
        <v>140000</v>
      </c>
      <c r="P107" s="87">
        <f t="shared" si="47"/>
        <v>16450821</v>
      </c>
      <c r="Q107" s="87">
        <f t="shared" si="48"/>
        <v>16310821</v>
      </c>
      <c r="R107" s="1166"/>
    </row>
    <row r="108" spans="1:20" ht="12" customHeight="1" x14ac:dyDescent="0.25">
      <c r="A108" s="845" t="s">
        <v>68</v>
      </c>
      <c r="B108" s="862" t="s">
        <v>314</v>
      </c>
      <c r="C108" s="830">
        <v>24566831</v>
      </c>
      <c r="D108" s="961">
        <v>24580953</v>
      </c>
      <c r="E108" s="1012">
        <f>24566831+14122</f>
        <v>24580953</v>
      </c>
      <c r="F108" s="206"/>
      <c r="G108" s="206"/>
      <c r="H108" s="87"/>
      <c r="I108" s="87"/>
      <c r="J108" s="87"/>
      <c r="K108" s="87"/>
      <c r="L108" s="681"/>
      <c r="M108" s="681"/>
      <c r="N108" s="681"/>
      <c r="O108" s="87">
        <f t="shared" si="46"/>
        <v>24566831</v>
      </c>
      <c r="P108" s="87">
        <f t="shared" si="47"/>
        <v>24580953</v>
      </c>
      <c r="Q108" s="87">
        <f t="shared" si="48"/>
        <v>24580953</v>
      </c>
      <c r="R108" s="1166"/>
    </row>
    <row r="109" spans="1:20" ht="12" customHeight="1" x14ac:dyDescent="0.25">
      <c r="A109" s="845" t="s">
        <v>75</v>
      </c>
      <c r="B109" s="860" t="s">
        <v>240</v>
      </c>
      <c r="C109" s="830">
        <v>0</v>
      </c>
      <c r="D109" s="687"/>
      <c r="E109" s="873"/>
      <c r="F109" s="206"/>
      <c r="G109" s="206"/>
      <c r="H109" s="87"/>
      <c r="I109" s="87"/>
      <c r="J109" s="87"/>
      <c r="K109" s="87"/>
      <c r="L109" s="681"/>
      <c r="M109" s="681"/>
      <c r="N109" s="681"/>
      <c r="O109" s="87">
        <f t="shared" si="46"/>
        <v>0</v>
      </c>
      <c r="P109" s="87">
        <f t="shared" si="47"/>
        <v>0</v>
      </c>
      <c r="Q109" s="87">
        <f t="shared" si="48"/>
        <v>0</v>
      </c>
      <c r="R109" s="1166"/>
    </row>
    <row r="110" spans="1:20" ht="12" customHeight="1" x14ac:dyDescent="0.25">
      <c r="A110" s="845" t="s">
        <v>76</v>
      </c>
      <c r="B110" s="861" t="s">
        <v>241</v>
      </c>
      <c r="C110" s="830">
        <v>0</v>
      </c>
      <c r="D110" s="687"/>
      <c r="E110" s="873"/>
      <c r="F110" s="206"/>
      <c r="G110" s="206"/>
      <c r="H110" s="87"/>
      <c r="I110" s="87"/>
      <c r="J110" s="87"/>
      <c r="K110" s="87"/>
      <c r="L110" s="681"/>
      <c r="M110" s="681"/>
      <c r="N110" s="681"/>
      <c r="O110" s="87">
        <f t="shared" si="46"/>
        <v>0</v>
      </c>
      <c r="P110" s="87">
        <f t="shared" si="47"/>
        <v>0</v>
      </c>
      <c r="Q110" s="87">
        <f t="shared" si="48"/>
        <v>0</v>
      </c>
      <c r="R110" s="1166"/>
    </row>
    <row r="111" spans="1:20" ht="12" customHeight="1" x14ac:dyDescent="0.25">
      <c r="A111" s="845" t="s">
        <v>77</v>
      </c>
      <c r="B111" s="861" t="s">
        <v>242</v>
      </c>
      <c r="C111" s="830">
        <v>0</v>
      </c>
      <c r="D111" s="687"/>
      <c r="E111" s="873"/>
      <c r="F111" s="206"/>
      <c r="G111" s="206"/>
      <c r="H111" s="87"/>
      <c r="I111" s="87"/>
      <c r="J111" s="87"/>
      <c r="K111" s="87"/>
      <c r="L111" s="681"/>
      <c r="M111" s="681"/>
      <c r="N111" s="681"/>
      <c r="O111" s="87">
        <f t="shared" si="46"/>
        <v>0</v>
      </c>
      <c r="P111" s="87">
        <f t="shared" si="47"/>
        <v>0</v>
      </c>
      <c r="Q111" s="87">
        <f t="shared" si="48"/>
        <v>0</v>
      </c>
      <c r="R111" s="1166"/>
    </row>
    <row r="112" spans="1:20" ht="12" customHeight="1" x14ac:dyDescent="0.25">
      <c r="A112" s="845" t="s">
        <v>78</v>
      </c>
      <c r="B112" s="860" t="s">
        <v>243</v>
      </c>
      <c r="C112" s="830">
        <v>636000</v>
      </c>
      <c r="D112" s="687">
        <v>672323</v>
      </c>
      <c r="E112" s="873">
        <v>611295</v>
      </c>
      <c r="F112" s="206">
        <v>526000</v>
      </c>
      <c r="G112" s="206">
        <v>1461000</v>
      </c>
      <c r="H112" s="87">
        <v>1350000</v>
      </c>
      <c r="I112" s="87"/>
      <c r="J112" s="87"/>
      <c r="K112" s="87"/>
      <c r="L112" s="681">
        <v>2500</v>
      </c>
      <c r="M112" s="681">
        <v>2500</v>
      </c>
      <c r="N112" s="681">
        <v>2500</v>
      </c>
      <c r="O112" s="87">
        <f t="shared" si="46"/>
        <v>107500</v>
      </c>
      <c r="P112" s="87">
        <f t="shared" si="47"/>
        <v>-791177</v>
      </c>
      <c r="Q112" s="87">
        <f t="shared" si="48"/>
        <v>-741205</v>
      </c>
      <c r="R112" s="1166"/>
    </row>
    <row r="113" spans="1:18" ht="12" customHeight="1" x14ac:dyDescent="0.25">
      <c r="A113" s="845" t="s">
        <v>80</v>
      </c>
      <c r="B113" s="860" t="s">
        <v>244</v>
      </c>
      <c r="C113" s="830">
        <v>0</v>
      </c>
      <c r="D113" s="687"/>
      <c r="E113" s="873"/>
      <c r="F113" s="206"/>
      <c r="G113" s="206"/>
      <c r="H113" s="87"/>
      <c r="I113" s="87"/>
      <c r="J113" s="87"/>
      <c r="K113" s="87"/>
      <c r="L113" s="681"/>
      <c r="M113" s="681"/>
      <c r="N113" s="681"/>
      <c r="O113" s="87">
        <f t="shared" si="46"/>
        <v>0</v>
      </c>
      <c r="P113" s="87">
        <f t="shared" si="47"/>
        <v>0</v>
      </c>
      <c r="Q113" s="87">
        <f t="shared" si="48"/>
        <v>0</v>
      </c>
      <c r="R113" s="1166"/>
    </row>
    <row r="114" spans="1:18" ht="12" customHeight="1" x14ac:dyDescent="0.25">
      <c r="A114" s="845" t="s">
        <v>112</v>
      </c>
      <c r="B114" s="861" t="s">
        <v>245</v>
      </c>
      <c r="C114" s="830">
        <v>0</v>
      </c>
      <c r="D114" s="687"/>
      <c r="E114" s="873"/>
      <c r="F114" s="205"/>
      <c r="G114" s="206"/>
      <c r="H114" s="87"/>
      <c r="I114" s="87"/>
      <c r="J114" s="87"/>
      <c r="K114" s="87"/>
      <c r="L114" s="681"/>
      <c r="M114" s="681"/>
      <c r="N114" s="681"/>
      <c r="O114" s="87">
        <f t="shared" si="46"/>
        <v>0</v>
      </c>
      <c r="P114" s="87">
        <f t="shared" si="47"/>
        <v>0</v>
      </c>
      <c r="Q114" s="87">
        <f t="shared" si="48"/>
        <v>0</v>
      </c>
      <c r="R114" s="1166"/>
    </row>
    <row r="115" spans="1:18" ht="12" customHeight="1" x14ac:dyDescent="0.25">
      <c r="A115" s="844" t="s">
        <v>238</v>
      </c>
      <c r="B115" s="862" t="s">
        <v>246</v>
      </c>
      <c r="C115" s="830">
        <v>0</v>
      </c>
      <c r="D115" s="687"/>
      <c r="E115" s="873"/>
      <c r="F115" s="206"/>
      <c r="G115" s="206"/>
      <c r="H115" s="87"/>
      <c r="I115" s="87"/>
      <c r="J115" s="87"/>
      <c r="K115" s="87"/>
      <c r="L115" s="681"/>
      <c r="M115" s="681"/>
      <c r="N115" s="681"/>
      <c r="O115" s="87">
        <f t="shared" si="46"/>
        <v>0</v>
      </c>
      <c r="P115" s="87">
        <f t="shared" si="47"/>
        <v>0</v>
      </c>
      <c r="Q115" s="87">
        <f t="shared" si="48"/>
        <v>0</v>
      </c>
      <c r="R115" s="1166"/>
    </row>
    <row r="116" spans="1:18" ht="12" customHeight="1" x14ac:dyDescent="0.25">
      <c r="A116" s="845" t="s">
        <v>239</v>
      </c>
      <c r="B116" s="862" t="s">
        <v>247</v>
      </c>
      <c r="C116" s="830">
        <v>0</v>
      </c>
      <c r="D116" s="687"/>
      <c r="E116" s="873"/>
      <c r="F116" s="206"/>
      <c r="G116" s="206"/>
      <c r="H116" s="87"/>
      <c r="I116" s="87"/>
      <c r="J116" s="87"/>
      <c r="K116" s="87"/>
      <c r="L116" s="681"/>
      <c r="M116" s="681"/>
      <c r="N116" s="681"/>
      <c r="O116" s="87">
        <f t="shared" si="46"/>
        <v>0</v>
      </c>
      <c r="P116" s="87">
        <f t="shared" si="47"/>
        <v>0</v>
      </c>
      <c r="Q116" s="87">
        <f t="shared" si="48"/>
        <v>0</v>
      </c>
      <c r="R116" s="1166"/>
    </row>
    <row r="117" spans="1:18" ht="12" customHeight="1" x14ac:dyDescent="0.25">
      <c r="A117" s="847" t="s">
        <v>312</v>
      </c>
      <c r="B117" s="862" t="s">
        <v>248</v>
      </c>
      <c r="C117" s="830">
        <v>173591867</v>
      </c>
      <c r="D117" s="687">
        <v>216108049</v>
      </c>
      <c r="E117" s="873">
        <v>170954694</v>
      </c>
      <c r="F117" s="205">
        <v>209809458</v>
      </c>
      <c r="G117" s="205">
        <v>202597866</v>
      </c>
      <c r="H117" s="85">
        <v>135553746</v>
      </c>
      <c r="I117" s="87"/>
      <c r="J117" s="87"/>
      <c r="K117" s="87"/>
      <c r="L117" s="681"/>
      <c r="M117" s="681"/>
      <c r="N117" s="681"/>
      <c r="O117" s="87">
        <f t="shared" si="46"/>
        <v>-36217591</v>
      </c>
      <c r="P117" s="87">
        <f t="shared" si="47"/>
        <v>13510183</v>
      </c>
      <c r="Q117" s="87">
        <f t="shared" si="48"/>
        <v>35400948</v>
      </c>
      <c r="R117" s="1166"/>
    </row>
    <row r="118" spans="1:18" ht="12" customHeight="1" x14ac:dyDescent="0.25">
      <c r="A118" s="845" t="s">
        <v>313</v>
      </c>
      <c r="B118" s="842" t="s">
        <v>36</v>
      </c>
      <c r="C118" s="809">
        <v>116379151</v>
      </c>
      <c r="D118" s="906">
        <v>81217123</v>
      </c>
      <c r="E118" s="871">
        <f t="shared" ref="E118" si="50">SUM(E119:E120)</f>
        <v>0</v>
      </c>
      <c r="F118" s="205">
        <f>SUM(F119:F120)</f>
        <v>133240838</v>
      </c>
      <c r="G118" s="141">
        <f>SUM(G119:G120)</f>
        <v>99220782</v>
      </c>
      <c r="H118" s="141">
        <f>SUM(H119:H120)</f>
        <v>0</v>
      </c>
      <c r="I118" s="85"/>
      <c r="J118" s="85"/>
      <c r="K118" s="85"/>
      <c r="L118" s="679"/>
      <c r="M118" s="679"/>
      <c r="N118" s="679"/>
      <c r="O118" s="85">
        <f t="shared" si="46"/>
        <v>-16861687</v>
      </c>
      <c r="P118" s="85">
        <f t="shared" si="47"/>
        <v>-18003659</v>
      </c>
      <c r="Q118" s="85">
        <f t="shared" si="48"/>
        <v>0</v>
      </c>
      <c r="R118" s="1166"/>
    </row>
    <row r="119" spans="1:18" ht="12" customHeight="1" x14ac:dyDescent="0.25">
      <c r="A119" s="845" t="s">
        <v>316</v>
      </c>
      <c r="B119" s="839" t="s">
        <v>318</v>
      </c>
      <c r="C119" s="828">
        <v>10000000</v>
      </c>
      <c r="D119" s="687">
        <v>373295</v>
      </c>
      <c r="E119" s="871"/>
      <c r="F119" s="206">
        <v>20000000</v>
      </c>
      <c r="G119" s="206">
        <v>7447374</v>
      </c>
      <c r="H119" s="87"/>
      <c r="I119" s="85"/>
      <c r="J119" s="85"/>
      <c r="K119" s="85"/>
      <c r="L119" s="679"/>
      <c r="M119" s="679"/>
      <c r="N119" s="679"/>
      <c r="O119" s="85">
        <f t="shared" si="46"/>
        <v>-10000000</v>
      </c>
      <c r="P119" s="85">
        <f t="shared" si="47"/>
        <v>-7074079</v>
      </c>
      <c r="Q119" s="85">
        <f t="shared" si="48"/>
        <v>0</v>
      </c>
      <c r="R119" s="1166"/>
    </row>
    <row r="120" spans="1:18" ht="12" customHeight="1" thickBot="1" x14ac:dyDescent="0.3">
      <c r="A120" s="849" t="s">
        <v>317</v>
      </c>
      <c r="B120" s="894" t="s">
        <v>319</v>
      </c>
      <c r="C120" s="820">
        <v>106379151</v>
      </c>
      <c r="D120" s="195">
        <v>80843828</v>
      </c>
      <c r="E120" s="875"/>
      <c r="F120" s="237">
        <v>113240838</v>
      </c>
      <c r="G120" s="237">
        <v>91773408</v>
      </c>
      <c r="H120" s="189"/>
      <c r="I120" s="189"/>
      <c r="J120" s="189"/>
      <c r="K120" s="189"/>
      <c r="L120" s="693"/>
      <c r="M120" s="693"/>
      <c r="N120" s="693"/>
      <c r="O120" s="189">
        <f t="shared" si="46"/>
        <v>-6861687</v>
      </c>
      <c r="P120" s="189">
        <f t="shared" si="47"/>
        <v>-10929580</v>
      </c>
      <c r="Q120" s="189">
        <f t="shared" si="48"/>
        <v>0</v>
      </c>
      <c r="R120" s="1166"/>
    </row>
    <row r="121" spans="1:18" ht="12" customHeight="1" thickBot="1" x14ac:dyDescent="0.3">
      <c r="A121" s="895" t="s">
        <v>7</v>
      </c>
      <c r="B121" s="896" t="s">
        <v>249</v>
      </c>
      <c r="C121" s="202">
        <f t="shared" ref="C121:E121" si="51">+C122+C124+C126</f>
        <v>977615018</v>
      </c>
      <c r="D121" s="907">
        <f t="shared" si="51"/>
        <v>2906962857</v>
      </c>
      <c r="E121" s="870">
        <f t="shared" si="51"/>
        <v>570063053</v>
      </c>
      <c r="F121" s="203">
        <f>+F122+F124+F126</f>
        <v>920919445</v>
      </c>
      <c r="G121" s="203">
        <f>+G122+G124+G126</f>
        <v>1279455978</v>
      </c>
      <c r="H121" s="84">
        <f>+H122+H124+H126</f>
        <v>381313047</v>
      </c>
      <c r="I121" s="190">
        <f t="shared" ref="I121:K121" si="52">+I122+I124+I126</f>
        <v>5047400</v>
      </c>
      <c r="J121" s="190">
        <f t="shared" si="52"/>
        <v>2507400</v>
      </c>
      <c r="K121" s="190">
        <f t="shared" si="52"/>
        <v>1215829</v>
      </c>
      <c r="L121" s="694">
        <v>24684006</v>
      </c>
      <c r="M121" s="694">
        <v>23457736</v>
      </c>
      <c r="N121" s="694">
        <v>19299228</v>
      </c>
      <c r="O121" s="190">
        <f t="shared" si="46"/>
        <v>26964167</v>
      </c>
      <c r="P121" s="190">
        <f t="shared" si="47"/>
        <v>1601541743</v>
      </c>
      <c r="Q121" s="190">
        <f t="shared" si="48"/>
        <v>168234949</v>
      </c>
      <c r="R121" s="1166"/>
    </row>
    <row r="122" spans="1:18" ht="12" customHeight="1" x14ac:dyDescent="0.25">
      <c r="A122" s="846" t="s">
        <v>69</v>
      </c>
      <c r="B122" s="839" t="s">
        <v>130</v>
      </c>
      <c r="C122" s="815">
        <v>612539782</v>
      </c>
      <c r="D122" s="905">
        <v>962678806</v>
      </c>
      <c r="E122" s="872">
        <v>274821481</v>
      </c>
      <c r="F122" s="204">
        <v>652081750</v>
      </c>
      <c r="G122" s="204">
        <v>740992414</v>
      </c>
      <c r="H122" s="86">
        <v>202652973</v>
      </c>
      <c r="I122" s="86">
        <v>5047400</v>
      </c>
      <c r="J122" s="86">
        <v>2507400</v>
      </c>
      <c r="K122" s="86">
        <v>1215829</v>
      </c>
      <c r="L122" s="680">
        <v>23374076</v>
      </c>
      <c r="M122" s="680">
        <v>23319306</v>
      </c>
      <c r="N122" s="680">
        <v>19250388</v>
      </c>
      <c r="O122" s="86">
        <f t="shared" si="46"/>
        <v>-67963444</v>
      </c>
      <c r="P122" s="86">
        <f t="shared" si="47"/>
        <v>195859686</v>
      </c>
      <c r="Q122" s="86">
        <f t="shared" si="48"/>
        <v>51702291</v>
      </c>
      <c r="R122" s="1166"/>
    </row>
    <row r="123" spans="1:18" ht="12" customHeight="1" x14ac:dyDescent="0.25">
      <c r="A123" s="846" t="s">
        <v>70</v>
      </c>
      <c r="B123" s="843" t="s">
        <v>253</v>
      </c>
      <c r="C123" s="815">
        <v>401925076</v>
      </c>
      <c r="D123" s="905">
        <v>257902823</v>
      </c>
      <c r="E123" s="872"/>
      <c r="F123" s="204">
        <v>574375663</v>
      </c>
      <c r="G123" s="204">
        <v>575998257</v>
      </c>
      <c r="H123" s="86">
        <v>170113425</v>
      </c>
      <c r="I123" s="86"/>
      <c r="J123" s="86"/>
      <c r="K123" s="86"/>
      <c r="L123" s="680">
        <v>1092200</v>
      </c>
      <c r="M123" s="680">
        <v>1193800</v>
      </c>
      <c r="N123" s="680"/>
      <c r="O123" s="86">
        <f t="shared" si="46"/>
        <v>-173542787</v>
      </c>
      <c r="P123" s="86">
        <f t="shared" si="47"/>
        <v>-319289234</v>
      </c>
      <c r="Q123" s="86">
        <f t="shared" si="48"/>
        <v>-170113425</v>
      </c>
      <c r="R123" s="1166"/>
    </row>
    <row r="124" spans="1:18" ht="12" customHeight="1" x14ac:dyDescent="0.25">
      <c r="A124" s="846" t="s">
        <v>71</v>
      </c>
      <c r="B124" s="843" t="s">
        <v>113</v>
      </c>
      <c r="C124" s="810">
        <v>359163430</v>
      </c>
      <c r="D124" s="906">
        <v>1938372245</v>
      </c>
      <c r="E124" s="871">
        <v>292429761</v>
      </c>
      <c r="F124" s="205">
        <v>260935796</v>
      </c>
      <c r="G124" s="205">
        <v>531584844</v>
      </c>
      <c r="H124" s="85">
        <v>174593165</v>
      </c>
      <c r="I124" s="85"/>
      <c r="J124" s="85"/>
      <c r="K124" s="85"/>
      <c r="L124" s="679">
        <v>1309930</v>
      </c>
      <c r="M124" s="679">
        <v>138430</v>
      </c>
      <c r="N124" s="679">
        <v>48840</v>
      </c>
      <c r="O124" s="85">
        <f t="shared" si="46"/>
        <v>96917704</v>
      </c>
      <c r="P124" s="85">
        <f t="shared" si="47"/>
        <v>1406648971</v>
      </c>
      <c r="Q124" s="85">
        <f t="shared" si="48"/>
        <v>117787756</v>
      </c>
      <c r="R124" s="1166"/>
    </row>
    <row r="125" spans="1:18" ht="12" customHeight="1" x14ac:dyDescent="0.25">
      <c r="A125" s="846" t="s">
        <v>72</v>
      </c>
      <c r="B125" s="843" t="s">
        <v>254</v>
      </c>
      <c r="C125" s="810">
        <v>290689778</v>
      </c>
      <c r="D125" s="906">
        <v>391940633</v>
      </c>
      <c r="E125" s="871"/>
      <c r="F125" s="205">
        <v>92353398</v>
      </c>
      <c r="G125" s="205">
        <v>285431347</v>
      </c>
      <c r="H125" s="85">
        <v>20926243</v>
      </c>
      <c r="I125" s="85"/>
      <c r="J125" s="85"/>
      <c r="K125" s="85"/>
      <c r="L125" s="679"/>
      <c r="M125" s="679"/>
      <c r="N125" s="679"/>
      <c r="O125" s="85">
        <f t="shared" si="46"/>
        <v>198336380</v>
      </c>
      <c r="P125" s="85">
        <f t="shared" si="47"/>
        <v>106509286</v>
      </c>
      <c r="Q125" s="85">
        <f t="shared" si="48"/>
        <v>-20926243</v>
      </c>
      <c r="R125" s="1166"/>
    </row>
    <row r="126" spans="1:18" ht="12" customHeight="1" x14ac:dyDescent="0.25">
      <c r="A126" s="846" t="s">
        <v>73</v>
      </c>
      <c r="B126" s="867" t="s">
        <v>132</v>
      </c>
      <c r="C126" s="809">
        <v>5911806</v>
      </c>
      <c r="D126" s="906">
        <v>5911806</v>
      </c>
      <c r="E126" s="871">
        <f t="shared" ref="E126" si="53">SUM(E127:E134)</f>
        <v>2811811</v>
      </c>
      <c r="F126" s="205">
        <f>SUM(F127:F134)</f>
        <v>7901899</v>
      </c>
      <c r="G126" s="141">
        <f t="shared" ref="G126:H126" si="54">SUM(G127:G134)</f>
        <v>6878720</v>
      </c>
      <c r="H126" s="141">
        <f t="shared" si="54"/>
        <v>4066909</v>
      </c>
      <c r="I126" s="141">
        <f t="shared" ref="I126:K126" si="55">SUM(I127:I134)</f>
        <v>0</v>
      </c>
      <c r="J126" s="141">
        <f t="shared" si="55"/>
        <v>0</v>
      </c>
      <c r="K126" s="141">
        <f t="shared" si="55"/>
        <v>0</v>
      </c>
      <c r="L126" s="685"/>
      <c r="M126" s="685"/>
      <c r="N126" s="685"/>
      <c r="O126" s="141">
        <f t="shared" si="46"/>
        <v>-1990093</v>
      </c>
      <c r="P126" s="141">
        <f t="shared" si="47"/>
        <v>-966914</v>
      </c>
      <c r="Q126" s="141">
        <f t="shared" si="48"/>
        <v>-1255098</v>
      </c>
      <c r="R126" s="1166"/>
    </row>
    <row r="127" spans="1:18" ht="12" customHeight="1" x14ac:dyDescent="0.25">
      <c r="A127" s="846" t="s">
        <v>79</v>
      </c>
      <c r="B127" s="866" t="s">
        <v>304</v>
      </c>
      <c r="C127" s="810">
        <v>0</v>
      </c>
      <c r="D127" s="906"/>
      <c r="E127" s="871"/>
      <c r="F127" s="205"/>
      <c r="G127" s="205"/>
      <c r="H127" s="85"/>
      <c r="I127" s="85"/>
      <c r="J127" s="85"/>
      <c r="K127" s="85"/>
      <c r="L127" s="679"/>
      <c r="M127" s="679"/>
      <c r="N127" s="679"/>
      <c r="O127" s="85">
        <f t="shared" si="46"/>
        <v>0</v>
      </c>
      <c r="P127" s="85">
        <f t="shared" si="47"/>
        <v>0</v>
      </c>
      <c r="Q127" s="85">
        <f t="shared" si="48"/>
        <v>0</v>
      </c>
      <c r="R127" s="1166"/>
    </row>
    <row r="128" spans="1:18" ht="12" customHeight="1" x14ac:dyDescent="0.25">
      <c r="A128" s="846" t="s">
        <v>81</v>
      </c>
      <c r="B128" s="880" t="s">
        <v>259</v>
      </c>
      <c r="C128" s="810">
        <v>0</v>
      </c>
      <c r="D128" s="906"/>
      <c r="E128" s="871"/>
      <c r="F128" s="205"/>
      <c r="G128" s="205"/>
      <c r="H128" s="85"/>
      <c r="I128" s="85"/>
      <c r="J128" s="85"/>
      <c r="K128" s="85"/>
      <c r="L128" s="679"/>
      <c r="M128" s="679"/>
      <c r="N128" s="679"/>
      <c r="O128" s="85">
        <f t="shared" si="46"/>
        <v>0</v>
      </c>
      <c r="P128" s="85">
        <f t="shared" si="47"/>
        <v>0</v>
      </c>
      <c r="Q128" s="85">
        <f t="shared" si="48"/>
        <v>0</v>
      </c>
      <c r="R128" s="1166"/>
    </row>
    <row r="129" spans="1:18" x14ac:dyDescent="0.25">
      <c r="A129" s="846" t="s">
        <v>114</v>
      </c>
      <c r="B129" s="861" t="s">
        <v>242</v>
      </c>
      <c r="C129" s="810">
        <v>0</v>
      </c>
      <c r="D129" s="906"/>
      <c r="E129" s="871"/>
      <c r="F129" s="205"/>
      <c r="G129" s="205"/>
      <c r="H129" s="85"/>
      <c r="I129" s="85"/>
      <c r="J129" s="85"/>
      <c r="K129" s="85"/>
      <c r="L129" s="679"/>
      <c r="M129" s="679"/>
      <c r="N129" s="679"/>
      <c r="O129" s="85">
        <f t="shared" si="46"/>
        <v>0</v>
      </c>
      <c r="P129" s="85">
        <f t="shared" si="47"/>
        <v>0</v>
      </c>
      <c r="Q129" s="85">
        <f t="shared" si="48"/>
        <v>0</v>
      </c>
      <c r="R129" s="1166"/>
    </row>
    <row r="130" spans="1:18" ht="12" customHeight="1" x14ac:dyDescent="0.25">
      <c r="A130" s="846" t="s">
        <v>115</v>
      </c>
      <c r="B130" s="861" t="s">
        <v>258</v>
      </c>
      <c r="C130" s="810">
        <v>0</v>
      </c>
      <c r="D130" s="906"/>
      <c r="E130" s="871"/>
      <c r="F130" s="205"/>
      <c r="G130" s="205"/>
      <c r="H130" s="85"/>
      <c r="I130" s="85"/>
      <c r="J130" s="85"/>
      <c r="K130" s="85"/>
      <c r="L130" s="679"/>
      <c r="M130" s="679"/>
      <c r="N130" s="679"/>
      <c r="O130" s="85">
        <f t="shared" si="46"/>
        <v>0</v>
      </c>
      <c r="P130" s="85">
        <f t="shared" si="47"/>
        <v>0</v>
      </c>
      <c r="Q130" s="85">
        <f t="shared" si="48"/>
        <v>0</v>
      </c>
      <c r="R130" s="1166"/>
    </row>
    <row r="131" spans="1:18" ht="12" customHeight="1" x14ac:dyDescent="0.25">
      <c r="A131" s="846" t="s">
        <v>116</v>
      </c>
      <c r="B131" s="861" t="s">
        <v>257</v>
      </c>
      <c r="C131" s="810">
        <v>0</v>
      </c>
      <c r="D131" s="906"/>
      <c r="E131" s="871"/>
      <c r="F131" s="205"/>
      <c r="G131" s="205"/>
      <c r="H131" s="85"/>
      <c r="I131" s="85"/>
      <c r="J131" s="85"/>
      <c r="K131" s="85"/>
      <c r="L131" s="679"/>
      <c r="M131" s="679"/>
      <c r="N131" s="679"/>
      <c r="O131" s="85">
        <f t="shared" si="46"/>
        <v>0</v>
      </c>
      <c r="P131" s="85">
        <f t="shared" si="47"/>
        <v>0</v>
      </c>
      <c r="Q131" s="85">
        <f t="shared" si="48"/>
        <v>0</v>
      </c>
      <c r="R131" s="1166"/>
    </row>
    <row r="132" spans="1:18" ht="12" customHeight="1" x14ac:dyDescent="0.25">
      <c r="A132" s="846" t="s">
        <v>250</v>
      </c>
      <c r="B132" s="861" t="s">
        <v>245</v>
      </c>
      <c r="C132" s="810">
        <v>0</v>
      </c>
      <c r="D132" s="906"/>
      <c r="E132" s="871"/>
      <c r="F132" s="205"/>
      <c r="G132" s="205"/>
      <c r="H132" s="85"/>
      <c r="I132" s="85"/>
      <c r="J132" s="85"/>
      <c r="K132" s="85"/>
      <c r="L132" s="679"/>
      <c r="M132" s="679"/>
      <c r="N132" s="679"/>
      <c r="O132" s="85">
        <f t="shared" si="46"/>
        <v>0</v>
      </c>
      <c r="P132" s="85">
        <f t="shared" si="47"/>
        <v>0</v>
      </c>
      <c r="Q132" s="85">
        <f t="shared" si="48"/>
        <v>0</v>
      </c>
      <c r="R132" s="1166"/>
    </row>
    <row r="133" spans="1:18" ht="12" customHeight="1" x14ac:dyDescent="0.25">
      <c r="A133" s="846" t="s">
        <v>251</v>
      </c>
      <c r="B133" s="861" t="s">
        <v>256</v>
      </c>
      <c r="C133" s="810">
        <v>0</v>
      </c>
      <c r="D133" s="906"/>
      <c r="E133" s="871"/>
      <c r="F133" s="205"/>
      <c r="G133" s="205"/>
      <c r="H133" s="85"/>
      <c r="I133" s="85"/>
      <c r="J133" s="85"/>
      <c r="K133" s="85"/>
      <c r="L133" s="679"/>
      <c r="M133" s="679"/>
      <c r="N133" s="679"/>
      <c r="O133" s="85">
        <f t="shared" si="46"/>
        <v>0</v>
      </c>
      <c r="P133" s="85">
        <f t="shared" si="47"/>
        <v>0</v>
      </c>
      <c r="Q133" s="85">
        <f t="shared" si="48"/>
        <v>0</v>
      </c>
      <c r="R133" s="1166"/>
    </row>
    <row r="134" spans="1:18" ht="16.5" thickBot="1" x14ac:dyDescent="0.3">
      <c r="A134" s="844" t="s">
        <v>252</v>
      </c>
      <c r="B134" s="861" t="s">
        <v>255</v>
      </c>
      <c r="C134" s="828">
        <v>5911806</v>
      </c>
      <c r="D134" s="687">
        <v>5911806</v>
      </c>
      <c r="E134" s="873">
        <v>2811811</v>
      </c>
      <c r="F134" s="206">
        <v>7901899</v>
      </c>
      <c r="G134" s="206">
        <v>6878720</v>
      </c>
      <c r="H134" s="87">
        <v>4066909</v>
      </c>
      <c r="I134" s="87"/>
      <c r="J134" s="87"/>
      <c r="K134" s="87"/>
      <c r="L134" s="681"/>
      <c r="M134" s="681"/>
      <c r="N134" s="681"/>
      <c r="O134" s="87">
        <f t="shared" si="46"/>
        <v>-1990093</v>
      </c>
      <c r="P134" s="87">
        <f t="shared" si="47"/>
        <v>-966914</v>
      </c>
      <c r="Q134" s="87">
        <f t="shared" si="48"/>
        <v>-1255098</v>
      </c>
      <c r="R134" s="1166"/>
    </row>
    <row r="135" spans="1:18" ht="12" customHeight="1" thickBot="1" x14ac:dyDescent="0.3">
      <c r="A135" s="851" t="s">
        <v>8</v>
      </c>
      <c r="B135" s="859" t="s">
        <v>320</v>
      </c>
      <c r="C135" s="202">
        <f t="shared" ref="C135:K135" si="56">+C101+C121</f>
        <v>3809048190</v>
      </c>
      <c r="D135" s="907">
        <f t="shared" si="56"/>
        <v>5974170958</v>
      </c>
      <c r="E135" s="870">
        <f t="shared" si="56"/>
        <v>3061578141</v>
      </c>
      <c r="F135" s="203">
        <f t="shared" si="56"/>
        <v>1763913569</v>
      </c>
      <c r="G135" s="203">
        <f t="shared" si="56"/>
        <v>2130836236</v>
      </c>
      <c r="H135" s="84">
        <f t="shared" si="56"/>
        <v>913134867</v>
      </c>
      <c r="I135" s="84">
        <f t="shared" si="56"/>
        <v>243632257</v>
      </c>
      <c r="J135" s="84">
        <f t="shared" si="56"/>
        <v>230692704</v>
      </c>
      <c r="K135" s="84">
        <f t="shared" si="56"/>
        <v>209723028</v>
      </c>
      <c r="L135" s="678">
        <v>1686996347</v>
      </c>
      <c r="M135" s="678">
        <v>1661325812</v>
      </c>
      <c r="N135" s="678">
        <v>1513393047</v>
      </c>
      <c r="O135" s="84">
        <f t="shared" si="46"/>
        <v>114506017</v>
      </c>
      <c r="P135" s="84">
        <f t="shared" si="47"/>
        <v>1951316206</v>
      </c>
      <c r="Q135" s="84">
        <f t="shared" si="48"/>
        <v>425327199</v>
      </c>
      <c r="R135" s="1166"/>
    </row>
    <row r="136" spans="1:18" ht="12" customHeight="1" thickBot="1" x14ac:dyDescent="0.3">
      <c r="A136" s="851" t="s">
        <v>9</v>
      </c>
      <c r="B136" s="859" t="s">
        <v>387</v>
      </c>
      <c r="C136" s="202">
        <f t="shared" ref="C136:E136" si="57">+C137+C138+C139</f>
        <v>874993747</v>
      </c>
      <c r="D136" s="907">
        <f t="shared" si="57"/>
        <v>1028491534</v>
      </c>
      <c r="E136" s="870">
        <f t="shared" si="57"/>
        <v>1028491534</v>
      </c>
      <c r="F136" s="203">
        <f>+F137+F138+F139</f>
        <v>726038434</v>
      </c>
      <c r="G136" s="203">
        <f>+G137+G138+G139</f>
        <v>847193674</v>
      </c>
      <c r="H136" s="84">
        <f>+H137+H138+H139</f>
        <v>847193674</v>
      </c>
      <c r="I136" s="84">
        <f t="shared" ref="I136:K136" si="58">+I137+I138+I139</f>
        <v>0</v>
      </c>
      <c r="J136" s="84">
        <f t="shared" si="58"/>
        <v>0</v>
      </c>
      <c r="K136" s="84">
        <f t="shared" si="58"/>
        <v>0</v>
      </c>
      <c r="L136" s="678"/>
      <c r="M136" s="678"/>
      <c r="N136" s="678"/>
      <c r="O136" s="84">
        <f t="shared" si="46"/>
        <v>148955313</v>
      </c>
      <c r="P136" s="84">
        <f t="shared" si="47"/>
        <v>181297860</v>
      </c>
      <c r="Q136" s="84">
        <f t="shared" si="48"/>
        <v>181297860</v>
      </c>
      <c r="R136" s="1166"/>
    </row>
    <row r="137" spans="1:18" ht="12" customHeight="1" x14ac:dyDescent="0.25">
      <c r="A137" s="846" t="s">
        <v>161</v>
      </c>
      <c r="B137" s="843" t="s">
        <v>328</v>
      </c>
      <c r="C137" s="809">
        <v>24993747</v>
      </c>
      <c r="D137" s="906">
        <v>24993747</v>
      </c>
      <c r="E137" s="871">
        <v>24993747</v>
      </c>
      <c r="F137" s="205">
        <v>26038434</v>
      </c>
      <c r="G137" s="205">
        <v>26038434</v>
      </c>
      <c r="H137" s="85">
        <v>26038434</v>
      </c>
      <c r="I137" s="85"/>
      <c r="J137" s="85"/>
      <c r="K137" s="85"/>
      <c r="L137" s="679"/>
      <c r="M137" s="679"/>
      <c r="N137" s="679"/>
      <c r="O137" s="85">
        <f t="shared" si="46"/>
        <v>-1044687</v>
      </c>
      <c r="P137" s="85">
        <f t="shared" si="47"/>
        <v>-1044687</v>
      </c>
      <c r="Q137" s="85">
        <f t="shared" si="48"/>
        <v>-1044687</v>
      </c>
      <c r="R137" s="1166"/>
    </row>
    <row r="138" spans="1:18" ht="12" customHeight="1" x14ac:dyDescent="0.25">
      <c r="A138" s="846" t="s">
        <v>162</v>
      </c>
      <c r="B138" s="843" t="s">
        <v>329</v>
      </c>
      <c r="C138" s="809">
        <v>850000000</v>
      </c>
      <c r="D138" s="906">
        <v>1003497787</v>
      </c>
      <c r="E138" s="871">
        <v>1003497787</v>
      </c>
      <c r="F138" s="205">
        <v>700000000</v>
      </c>
      <c r="G138" s="205">
        <v>821155240</v>
      </c>
      <c r="H138" s="85">
        <v>821155240</v>
      </c>
      <c r="I138" s="85"/>
      <c r="J138" s="85"/>
      <c r="K138" s="85"/>
      <c r="L138" s="679"/>
      <c r="M138" s="679"/>
      <c r="N138" s="679"/>
      <c r="O138" s="85">
        <f t="shared" si="46"/>
        <v>150000000</v>
      </c>
      <c r="P138" s="85">
        <f t="shared" si="47"/>
        <v>182342547</v>
      </c>
      <c r="Q138" s="85">
        <f t="shared" si="48"/>
        <v>182342547</v>
      </c>
      <c r="R138" s="1166"/>
    </row>
    <row r="139" spans="1:18" ht="12" customHeight="1" thickBot="1" x14ac:dyDescent="0.3">
      <c r="A139" s="844" t="s">
        <v>163</v>
      </c>
      <c r="B139" s="843" t="s">
        <v>330</v>
      </c>
      <c r="C139" s="809"/>
      <c r="D139" s="906"/>
      <c r="E139" s="871"/>
      <c r="F139" s="205"/>
      <c r="G139" s="205"/>
      <c r="H139" s="85"/>
      <c r="I139" s="85"/>
      <c r="J139" s="85"/>
      <c r="K139" s="85"/>
      <c r="L139" s="679"/>
      <c r="M139" s="679"/>
      <c r="N139" s="679"/>
      <c r="O139" s="85">
        <f t="shared" si="46"/>
        <v>0</v>
      </c>
      <c r="P139" s="85">
        <f t="shared" si="47"/>
        <v>0</v>
      </c>
      <c r="Q139" s="85">
        <f t="shared" si="48"/>
        <v>0</v>
      </c>
      <c r="R139" s="1166"/>
    </row>
    <row r="140" spans="1:18" ht="12" customHeight="1" thickBot="1" x14ac:dyDescent="0.3">
      <c r="A140" s="851" t="s">
        <v>10</v>
      </c>
      <c r="B140" s="859" t="s">
        <v>322</v>
      </c>
      <c r="C140" s="202">
        <f t="shared" ref="C140:E140" si="59">+C141+C142+C143+C144+C145+C146</f>
        <v>0</v>
      </c>
      <c r="D140" s="907">
        <f t="shared" si="59"/>
        <v>0</v>
      </c>
      <c r="E140" s="870">
        <f t="shared" si="59"/>
        <v>0</v>
      </c>
      <c r="F140" s="203">
        <f>+F141+F142+F143+F144+F145+F146</f>
        <v>0</v>
      </c>
      <c r="G140" s="203">
        <f>+G141+G142+G143+G144+G145+G146</f>
        <v>0</v>
      </c>
      <c r="H140" s="84">
        <f>+H141+H142+H143+H144+H145+H146</f>
        <v>0</v>
      </c>
      <c r="I140" s="84">
        <f t="shared" ref="I140:K140" si="60">SUM(I141:I146)</f>
        <v>0</v>
      </c>
      <c r="J140" s="84">
        <f t="shared" si="60"/>
        <v>0</v>
      </c>
      <c r="K140" s="84">
        <f t="shared" si="60"/>
        <v>0</v>
      </c>
      <c r="L140" s="678"/>
      <c r="M140" s="678"/>
      <c r="N140" s="678"/>
      <c r="O140" s="84">
        <f t="shared" si="46"/>
        <v>0</v>
      </c>
      <c r="P140" s="84">
        <f t="shared" si="47"/>
        <v>0</v>
      </c>
      <c r="Q140" s="84">
        <f t="shared" si="48"/>
        <v>0</v>
      </c>
      <c r="R140" s="1166"/>
    </row>
    <row r="141" spans="1:18" ht="12" customHeight="1" x14ac:dyDescent="0.25">
      <c r="A141" s="846" t="s">
        <v>56</v>
      </c>
      <c r="B141" s="840" t="s">
        <v>331</v>
      </c>
      <c r="C141" s="809"/>
      <c r="D141" s="906"/>
      <c r="E141" s="871"/>
      <c r="F141" s="205"/>
      <c r="G141" s="205"/>
      <c r="H141" s="85"/>
      <c r="I141" s="85"/>
      <c r="J141" s="85"/>
      <c r="K141" s="85"/>
      <c r="L141" s="679"/>
      <c r="M141" s="679"/>
      <c r="N141" s="679"/>
      <c r="O141" s="85">
        <f t="shared" si="46"/>
        <v>0</v>
      </c>
      <c r="P141" s="85">
        <f t="shared" si="47"/>
        <v>0</v>
      </c>
      <c r="Q141" s="85">
        <f t="shared" si="48"/>
        <v>0</v>
      </c>
      <c r="R141" s="1166"/>
    </row>
    <row r="142" spans="1:18" ht="12" customHeight="1" x14ac:dyDescent="0.25">
      <c r="A142" s="846" t="s">
        <v>57</v>
      </c>
      <c r="B142" s="840" t="s">
        <v>323</v>
      </c>
      <c r="C142" s="809"/>
      <c r="D142" s="906"/>
      <c r="E142" s="871"/>
      <c r="F142" s="205"/>
      <c r="G142" s="205"/>
      <c r="H142" s="85"/>
      <c r="I142" s="85"/>
      <c r="J142" s="85"/>
      <c r="K142" s="85"/>
      <c r="L142" s="679"/>
      <c r="M142" s="679"/>
      <c r="N142" s="679"/>
      <c r="O142" s="85">
        <f t="shared" si="46"/>
        <v>0</v>
      </c>
      <c r="P142" s="85">
        <f t="shared" si="47"/>
        <v>0</v>
      </c>
      <c r="Q142" s="85">
        <f t="shared" si="48"/>
        <v>0</v>
      </c>
      <c r="R142" s="1166"/>
    </row>
    <row r="143" spans="1:18" ht="12" customHeight="1" x14ac:dyDescent="0.25">
      <c r="A143" s="846" t="s">
        <v>58</v>
      </c>
      <c r="B143" s="840" t="s">
        <v>324</v>
      </c>
      <c r="C143" s="809"/>
      <c r="D143" s="906"/>
      <c r="E143" s="871"/>
      <c r="F143" s="205"/>
      <c r="G143" s="205"/>
      <c r="H143" s="85"/>
      <c r="I143" s="85"/>
      <c r="J143" s="85"/>
      <c r="K143" s="85"/>
      <c r="L143" s="679"/>
      <c r="M143" s="679"/>
      <c r="N143" s="679"/>
      <c r="O143" s="85">
        <f t="shared" si="46"/>
        <v>0</v>
      </c>
      <c r="P143" s="85">
        <f t="shared" si="47"/>
        <v>0</v>
      </c>
      <c r="Q143" s="85">
        <f t="shared" si="48"/>
        <v>0</v>
      </c>
      <c r="R143" s="1166"/>
    </row>
    <row r="144" spans="1:18" ht="12" customHeight="1" x14ac:dyDescent="0.25">
      <c r="A144" s="846" t="s">
        <v>101</v>
      </c>
      <c r="B144" s="840" t="s">
        <v>325</v>
      </c>
      <c r="C144" s="809"/>
      <c r="D144" s="906"/>
      <c r="E144" s="871"/>
      <c r="F144" s="205"/>
      <c r="G144" s="205"/>
      <c r="H144" s="85"/>
      <c r="I144" s="85"/>
      <c r="J144" s="85"/>
      <c r="K144" s="85"/>
      <c r="L144" s="679"/>
      <c r="M144" s="679"/>
      <c r="N144" s="679"/>
      <c r="O144" s="85">
        <f t="shared" si="46"/>
        <v>0</v>
      </c>
      <c r="P144" s="85">
        <f t="shared" si="47"/>
        <v>0</v>
      </c>
      <c r="Q144" s="85">
        <f t="shared" si="48"/>
        <v>0</v>
      </c>
      <c r="R144" s="1166"/>
    </row>
    <row r="145" spans="1:18" ht="12" customHeight="1" x14ac:dyDescent="0.25">
      <c r="A145" s="846" t="s">
        <v>102</v>
      </c>
      <c r="B145" s="840" t="s">
        <v>326</v>
      </c>
      <c r="C145" s="809"/>
      <c r="D145" s="906"/>
      <c r="E145" s="871"/>
      <c r="F145" s="205"/>
      <c r="G145" s="205"/>
      <c r="H145" s="85"/>
      <c r="I145" s="85"/>
      <c r="J145" s="85"/>
      <c r="K145" s="85"/>
      <c r="L145" s="679"/>
      <c r="M145" s="679"/>
      <c r="N145" s="679"/>
      <c r="O145" s="85">
        <f t="shared" si="46"/>
        <v>0</v>
      </c>
      <c r="P145" s="85">
        <f t="shared" si="47"/>
        <v>0</v>
      </c>
      <c r="Q145" s="85">
        <f t="shared" si="48"/>
        <v>0</v>
      </c>
      <c r="R145" s="1166"/>
    </row>
    <row r="146" spans="1:18" ht="12" customHeight="1" thickBot="1" x14ac:dyDescent="0.3">
      <c r="A146" s="849" t="s">
        <v>103</v>
      </c>
      <c r="B146" s="252" t="s">
        <v>327</v>
      </c>
      <c r="C146" s="806"/>
      <c r="D146" s="195"/>
      <c r="E146" s="875"/>
      <c r="F146" s="205"/>
      <c r="G146" s="205"/>
      <c r="H146" s="85"/>
      <c r="I146" s="189"/>
      <c r="J146" s="189"/>
      <c r="K146" s="189"/>
      <c r="L146" s="693"/>
      <c r="M146" s="693"/>
      <c r="N146" s="693"/>
      <c r="O146" s="189">
        <f t="shared" si="46"/>
        <v>0</v>
      </c>
      <c r="P146" s="189">
        <f t="shared" si="47"/>
        <v>0</v>
      </c>
      <c r="Q146" s="189">
        <f t="shared" si="48"/>
        <v>0</v>
      </c>
      <c r="R146" s="1166"/>
    </row>
    <row r="147" spans="1:18" ht="12" customHeight="1" thickBot="1" x14ac:dyDescent="0.3">
      <c r="A147" s="851" t="s">
        <v>11</v>
      </c>
      <c r="B147" s="859" t="s">
        <v>335</v>
      </c>
      <c r="C147" s="823">
        <f t="shared" ref="C147:E147" si="61">+C148+C149+C151+C152+C150</f>
        <v>48966750</v>
      </c>
      <c r="D147" s="688">
        <f t="shared" si="61"/>
        <v>48966750</v>
      </c>
      <c r="E147" s="874">
        <f t="shared" si="61"/>
        <v>48966750</v>
      </c>
      <c r="F147" s="207">
        <f>+F148+F149+F151+F152+F150</f>
        <v>0</v>
      </c>
      <c r="G147" s="207">
        <f>+G148+G149+G151+G152+G150</f>
        <v>45672254</v>
      </c>
      <c r="H147" s="172">
        <f>+H148+H149+H151+H152+H150</f>
        <v>45672254</v>
      </c>
      <c r="I147" s="172">
        <f t="shared" ref="I147:K147" si="62">+I148+I149+I150+I151</f>
        <v>0</v>
      </c>
      <c r="J147" s="172">
        <f t="shared" si="62"/>
        <v>0</v>
      </c>
      <c r="K147" s="172">
        <f t="shared" si="62"/>
        <v>0</v>
      </c>
      <c r="L147" s="689"/>
      <c r="M147" s="689"/>
      <c r="N147" s="689"/>
      <c r="O147" s="172">
        <f t="shared" si="46"/>
        <v>48966750</v>
      </c>
      <c r="P147" s="172">
        <f t="shared" si="47"/>
        <v>3294496</v>
      </c>
      <c r="Q147" s="172">
        <f t="shared" si="48"/>
        <v>3294496</v>
      </c>
      <c r="R147" s="1166"/>
    </row>
    <row r="148" spans="1:18" ht="12" customHeight="1" x14ac:dyDescent="0.25">
      <c r="A148" s="846" t="s">
        <v>59</v>
      </c>
      <c r="B148" s="840" t="s">
        <v>260</v>
      </c>
      <c r="C148" s="809"/>
      <c r="D148" s="906"/>
      <c r="E148" s="871"/>
      <c r="F148" s="205"/>
      <c r="G148" s="205"/>
      <c r="H148" s="85"/>
      <c r="I148" s="85"/>
      <c r="J148" s="85"/>
      <c r="K148" s="85"/>
      <c r="L148" s="679"/>
      <c r="M148" s="679"/>
      <c r="N148" s="679"/>
      <c r="O148" s="85">
        <f t="shared" si="46"/>
        <v>0</v>
      </c>
      <c r="P148" s="85">
        <f t="shared" si="47"/>
        <v>0</v>
      </c>
      <c r="Q148" s="85">
        <f t="shared" si="48"/>
        <v>0</v>
      </c>
      <c r="R148" s="1166"/>
    </row>
    <row r="149" spans="1:18" ht="12" customHeight="1" x14ac:dyDescent="0.25">
      <c r="A149" s="846" t="s">
        <v>60</v>
      </c>
      <c r="B149" s="840" t="s">
        <v>261</v>
      </c>
      <c r="C149" s="809">
        <v>48966750</v>
      </c>
      <c r="D149" s="906">
        <v>48966750</v>
      </c>
      <c r="E149" s="871">
        <v>48966750</v>
      </c>
      <c r="F149" s="205">
        <v>0</v>
      </c>
      <c r="G149" s="205">
        <v>45672254</v>
      </c>
      <c r="H149" s="85">
        <v>45672254</v>
      </c>
      <c r="I149" s="85">
        <v>0</v>
      </c>
      <c r="J149" s="85"/>
      <c r="K149" s="85"/>
      <c r="L149" s="679"/>
      <c r="M149" s="679"/>
      <c r="N149" s="679"/>
      <c r="O149" s="85">
        <f t="shared" si="46"/>
        <v>48966750</v>
      </c>
      <c r="P149" s="85">
        <f t="shared" si="47"/>
        <v>3294496</v>
      </c>
      <c r="Q149" s="85">
        <f t="shared" si="48"/>
        <v>3294496</v>
      </c>
      <c r="R149" s="1166"/>
    </row>
    <row r="150" spans="1:18" ht="12" customHeight="1" x14ac:dyDescent="0.25">
      <c r="A150" s="846" t="s">
        <v>178</v>
      </c>
      <c r="B150" s="840" t="s">
        <v>336</v>
      </c>
      <c r="C150" s="809"/>
      <c r="D150" s="906"/>
      <c r="E150" s="871"/>
      <c r="F150" s="85"/>
      <c r="G150" s="85"/>
      <c r="H150" s="85"/>
      <c r="I150" s="85"/>
      <c r="J150" s="85"/>
      <c r="K150" s="85"/>
      <c r="L150" s="679"/>
      <c r="M150" s="679"/>
      <c r="N150" s="679"/>
      <c r="O150" s="85">
        <f t="shared" si="46"/>
        <v>0</v>
      </c>
      <c r="P150" s="85">
        <f t="shared" si="47"/>
        <v>0</v>
      </c>
      <c r="Q150" s="85">
        <f t="shared" si="48"/>
        <v>0</v>
      </c>
      <c r="R150" s="1166"/>
    </row>
    <row r="151" spans="1:18" ht="12" customHeight="1" thickBot="1" x14ac:dyDescent="0.3">
      <c r="A151" s="844" t="s">
        <v>179</v>
      </c>
      <c r="B151" s="838" t="s">
        <v>275</v>
      </c>
      <c r="C151" s="809"/>
      <c r="D151" s="906"/>
      <c r="E151" s="871"/>
      <c r="F151" s="85"/>
      <c r="G151" s="85"/>
      <c r="H151" s="85"/>
      <c r="I151" s="85"/>
      <c r="J151" s="85"/>
      <c r="K151" s="85"/>
      <c r="L151" s="679"/>
      <c r="M151" s="679"/>
      <c r="N151" s="679"/>
      <c r="O151" s="85">
        <f t="shared" si="46"/>
        <v>0</v>
      </c>
      <c r="P151" s="85">
        <f t="shared" si="47"/>
        <v>0</v>
      </c>
      <c r="Q151" s="85">
        <f t="shared" si="48"/>
        <v>0</v>
      </c>
      <c r="R151" s="1166"/>
    </row>
    <row r="152" spans="1:18" ht="12" customHeight="1" thickBot="1" x14ac:dyDescent="0.3">
      <c r="A152" s="851" t="s">
        <v>12</v>
      </c>
      <c r="B152" s="859" t="s">
        <v>337</v>
      </c>
      <c r="C152" s="837">
        <f t="shared" ref="C152:E152" si="63">SUM(C153:C157)</f>
        <v>0</v>
      </c>
      <c r="D152" s="196">
        <f t="shared" si="63"/>
        <v>0</v>
      </c>
      <c r="E152" s="876">
        <f t="shared" si="63"/>
        <v>0</v>
      </c>
      <c r="F152" s="191">
        <f t="shared" ref="F152:K152" si="64">SUM(F153:F157)</f>
        <v>0</v>
      </c>
      <c r="G152" s="191">
        <f t="shared" si="64"/>
        <v>0</v>
      </c>
      <c r="H152" s="191">
        <f t="shared" si="64"/>
        <v>0</v>
      </c>
      <c r="I152" s="191">
        <f t="shared" si="64"/>
        <v>0</v>
      </c>
      <c r="J152" s="191">
        <f t="shared" si="64"/>
        <v>0</v>
      </c>
      <c r="K152" s="191">
        <f t="shared" si="64"/>
        <v>0</v>
      </c>
      <c r="L152" s="695"/>
      <c r="M152" s="695"/>
      <c r="N152" s="695"/>
      <c r="O152" s="191">
        <f t="shared" si="46"/>
        <v>0</v>
      </c>
      <c r="P152" s="191">
        <f t="shared" si="47"/>
        <v>0</v>
      </c>
      <c r="Q152" s="191">
        <f t="shared" si="48"/>
        <v>0</v>
      </c>
      <c r="R152" s="1166"/>
    </row>
    <row r="153" spans="1:18" ht="12" customHeight="1" x14ac:dyDescent="0.25">
      <c r="A153" s="846" t="s">
        <v>61</v>
      </c>
      <c r="B153" s="840" t="s">
        <v>332</v>
      </c>
      <c r="C153" s="809"/>
      <c r="D153" s="906"/>
      <c r="E153" s="871"/>
      <c r="F153" s="85"/>
      <c r="G153" s="85"/>
      <c r="H153" s="85"/>
      <c r="I153" s="85"/>
      <c r="J153" s="85"/>
      <c r="K153" s="85"/>
      <c r="L153" s="679"/>
      <c r="M153" s="679"/>
      <c r="N153" s="679"/>
      <c r="O153" s="85">
        <f t="shared" si="46"/>
        <v>0</v>
      </c>
      <c r="P153" s="85">
        <f t="shared" si="47"/>
        <v>0</v>
      </c>
      <c r="Q153" s="85">
        <f t="shared" si="48"/>
        <v>0</v>
      </c>
      <c r="R153" s="1166"/>
    </row>
    <row r="154" spans="1:18" ht="12" customHeight="1" x14ac:dyDescent="0.25">
      <c r="A154" s="846" t="s">
        <v>62</v>
      </c>
      <c r="B154" s="840" t="s">
        <v>339</v>
      </c>
      <c r="C154" s="809"/>
      <c r="D154" s="906"/>
      <c r="E154" s="871"/>
      <c r="F154" s="85"/>
      <c r="G154" s="85"/>
      <c r="H154" s="85"/>
      <c r="I154" s="85"/>
      <c r="J154" s="85"/>
      <c r="K154" s="85"/>
      <c r="L154" s="679"/>
      <c r="M154" s="679"/>
      <c r="N154" s="679"/>
      <c r="O154" s="85">
        <f t="shared" si="46"/>
        <v>0</v>
      </c>
      <c r="P154" s="85">
        <f t="shared" si="47"/>
        <v>0</v>
      </c>
      <c r="Q154" s="85">
        <f t="shared" si="48"/>
        <v>0</v>
      </c>
      <c r="R154" s="1166"/>
    </row>
    <row r="155" spans="1:18" ht="12" customHeight="1" x14ac:dyDescent="0.25">
      <c r="A155" s="846" t="s">
        <v>190</v>
      </c>
      <c r="B155" s="840" t="s">
        <v>334</v>
      </c>
      <c r="C155" s="809"/>
      <c r="D155" s="906"/>
      <c r="E155" s="871"/>
      <c r="F155" s="85"/>
      <c r="G155" s="85"/>
      <c r="H155" s="85"/>
      <c r="I155" s="85"/>
      <c r="J155" s="85"/>
      <c r="K155" s="85"/>
      <c r="L155" s="679"/>
      <c r="M155" s="679"/>
      <c r="N155" s="679"/>
      <c r="O155" s="85">
        <f t="shared" si="46"/>
        <v>0</v>
      </c>
      <c r="P155" s="85">
        <f t="shared" si="47"/>
        <v>0</v>
      </c>
      <c r="Q155" s="85">
        <f t="shared" si="48"/>
        <v>0</v>
      </c>
      <c r="R155" s="1166"/>
    </row>
    <row r="156" spans="1:18" ht="12" customHeight="1" x14ac:dyDescent="0.25">
      <c r="A156" s="846" t="s">
        <v>191</v>
      </c>
      <c r="B156" s="840" t="s">
        <v>340</v>
      </c>
      <c r="C156" s="809"/>
      <c r="D156" s="906"/>
      <c r="E156" s="871"/>
      <c r="F156" s="85"/>
      <c r="G156" s="85"/>
      <c r="H156" s="85"/>
      <c r="I156" s="85"/>
      <c r="J156" s="85"/>
      <c r="K156" s="85"/>
      <c r="L156" s="679"/>
      <c r="M156" s="679"/>
      <c r="N156" s="679"/>
      <c r="O156" s="85">
        <f t="shared" si="46"/>
        <v>0</v>
      </c>
      <c r="P156" s="85">
        <f t="shared" si="47"/>
        <v>0</v>
      </c>
      <c r="Q156" s="85">
        <f t="shared" si="48"/>
        <v>0</v>
      </c>
      <c r="R156" s="1166"/>
    </row>
    <row r="157" spans="1:18" ht="12" customHeight="1" thickBot="1" x14ac:dyDescent="0.3">
      <c r="A157" s="846" t="s">
        <v>338</v>
      </c>
      <c r="B157" s="840" t="s">
        <v>341</v>
      </c>
      <c r="C157" s="809"/>
      <c r="D157" s="906"/>
      <c r="E157" s="871"/>
      <c r="F157" s="85"/>
      <c r="G157" s="85"/>
      <c r="H157" s="85"/>
      <c r="I157" s="85"/>
      <c r="J157" s="85"/>
      <c r="K157" s="85"/>
      <c r="L157" s="679"/>
      <c r="M157" s="679"/>
      <c r="N157" s="679"/>
      <c r="O157" s="85">
        <f t="shared" si="46"/>
        <v>0</v>
      </c>
      <c r="P157" s="85">
        <f t="shared" si="47"/>
        <v>0</v>
      </c>
      <c r="Q157" s="85">
        <f t="shared" si="48"/>
        <v>0</v>
      </c>
      <c r="R157" s="1166"/>
    </row>
    <row r="158" spans="1:18" ht="12" customHeight="1" thickBot="1" x14ac:dyDescent="0.3">
      <c r="A158" s="851" t="s">
        <v>13</v>
      </c>
      <c r="B158" s="859" t="s">
        <v>342</v>
      </c>
      <c r="C158" s="832"/>
      <c r="D158" s="197"/>
      <c r="E158" s="897"/>
      <c r="F158" s="192"/>
      <c r="G158" s="192"/>
      <c r="H158" s="192"/>
      <c r="I158" s="192"/>
      <c r="J158" s="192"/>
      <c r="K158" s="192"/>
      <c r="L158" s="696"/>
      <c r="M158" s="696"/>
      <c r="N158" s="696"/>
      <c r="O158" s="192">
        <f t="shared" si="46"/>
        <v>0</v>
      </c>
      <c r="P158" s="192">
        <f t="shared" si="47"/>
        <v>0</v>
      </c>
      <c r="Q158" s="192">
        <f t="shared" si="48"/>
        <v>0</v>
      </c>
      <c r="R158" s="1166"/>
    </row>
    <row r="159" spans="1:18" ht="12" customHeight="1" thickBot="1" x14ac:dyDescent="0.3">
      <c r="A159" s="851" t="s">
        <v>14</v>
      </c>
      <c r="B159" s="859" t="s">
        <v>343</v>
      </c>
      <c r="C159" s="832"/>
      <c r="D159" s="197"/>
      <c r="E159" s="897"/>
      <c r="F159" s="192"/>
      <c r="G159" s="192"/>
      <c r="H159" s="192"/>
      <c r="I159" s="192"/>
      <c r="J159" s="192"/>
      <c r="K159" s="192"/>
      <c r="L159" s="696"/>
      <c r="M159" s="696"/>
      <c r="N159" s="696"/>
      <c r="O159" s="192">
        <f t="shared" si="46"/>
        <v>0</v>
      </c>
      <c r="P159" s="192">
        <f t="shared" si="47"/>
        <v>0</v>
      </c>
      <c r="Q159" s="192">
        <f t="shared" si="48"/>
        <v>0</v>
      </c>
      <c r="R159" s="1166"/>
    </row>
    <row r="160" spans="1:18" ht="15.2" customHeight="1" thickBot="1" x14ac:dyDescent="0.3">
      <c r="A160" s="851" t="s">
        <v>15</v>
      </c>
      <c r="B160" s="859" t="s">
        <v>345</v>
      </c>
      <c r="C160" s="819">
        <f t="shared" ref="C160:E160" si="65">+C136+C140+C147+C152+C158+C159</f>
        <v>923960497</v>
      </c>
      <c r="D160" s="908">
        <f t="shared" si="65"/>
        <v>1077458284</v>
      </c>
      <c r="E160" s="889">
        <f t="shared" si="65"/>
        <v>1077458284</v>
      </c>
      <c r="F160" s="193">
        <f t="shared" ref="F160:K160" si="66">+F136+F140+F147+F152+F158+F159</f>
        <v>726038434</v>
      </c>
      <c r="G160" s="193">
        <f t="shared" si="66"/>
        <v>892865928</v>
      </c>
      <c r="H160" s="193">
        <f t="shared" si="66"/>
        <v>892865928</v>
      </c>
      <c r="I160" s="193">
        <f t="shared" si="66"/>
        <v>0</v>
      </c>
      <c r="J160" s="193">
        <f t="shared" si="66"/>
        <v>0</v>
      </c>
      <c r="K160" s="193">
        <f t="shared" si="66"/>
        <v>0</v>
      </c>
      <c r="L160" s="697"/>
      <c r="M160" s="697"/>
      <c r="N160" s="697"/>
      <c r="O160" s="193">
        <f t="shared" si="46"/>
        <v>197922063</v>
      </c>
      <c r="P160" s="193">
        <f t="shared" si="47"/>
        <v>184592356</v>
      </c>
      <c r="Q160" s="193">
        <f t="shared" si="48"/>
        <v>184592356</v>
      </c>
      <c r="R160" s="1166"/>
    </row>
    <row r="161" spans="1:20" s="151" customFormat="1" ht="12.95" customHeight="1" thickBot="1" x14ac:dyDescent="0.25">
      <c r="A161" s="868" t="s">
        <v>16</v>
      </c>
      <c r="B161" s="877" t="s">
        <v>344</v>
      </c>
      <c r="C161" s="819">
        <f t="shared" ref="C161:E161" si="67">+C135+C160</f>
        <v>4733008687</v>
      </c>
      <c r="D161" s="908">
        <f t="shared" si="67"/>
        <v>7051629242</v>
      </c>
      <c r="E161" s="889">
        <f t="shared" si="67"/>
        <v>4139036425</v>
      </c>
      <c r="F161" s="193">
        <f t="shared" ref="F161:K161" si="68">+F135+F160</f>
        <v>2489952003</v>
      </c>
      <c r="G161" s="193">
        <f t="shared" si="68"/>
        <v>3023702164</v>
      </c>
      <c r="H161" s="193">
        <f t="shared" si="68"/>
        <v>1806000795</v>
      </c>
      <c r="I161" s="193">
        <f t="shared" si="68"/>
        <v>243632257</v>
      </c>
      <c r="J161" s="193">
        <f t="shared" si="68"/>
        <v>230692704</v>
      </c>
      <c r="K161" s="193">
        <f t="shared" si="68"/>
        <v>209723028</v>
      </c>
      <c r="L161" s="697">
        <v>1686996347</v>
      </c>
      <c r="M161" s="697">
        <v>1661325812</v>
      </c>
      <c r="N161" s="697">
        <v>1513393047</v>
      </c>
      <c r="O161" s="193">
        <f t="shared" si="46"/>
        <v>312428080</v>
      </c>
      <c r="P161" s="193">
        <f t="shared" si="47"/>
        <v>2135908562</v>
      </c>
      <c r="Q161" s="193">
        <f t="shared" si="48"/>
        <v>609919555</v>
      </c>
      <c r="R161" s="1166"/>
      <c r="S161" s="150"/>
      <c r="T161" s="150"/>
    </row>
    <row r="162" spans="1:20" x14ac:dyDescent="0.25">
      <c r="C162" s="494">
        <f>C94-C161</f>
        <v>0</v>
      </c>
      <c r="D162" s="494">
        <f>D94-D161</f>
        <v>0</v>
      </c>
      <c r="R162" s="1166"/>
    </row>
    <row r="163" spans="1:20" x14ac:dyDescent="0.25">
      <c r="A163" s="1330" t="s">
        <v>262</v>
      </c>
      <c r="B163" s="1330"/>
      <c r="C163" s="1330"/>
      <c r="D163" s="1330"/>
      <c r="E163" s="1330"/>
      <c r="R163" s="1166"/>
    </row>
    <row r="164" spans="1:20" ht="15.2" customHeight="1" thickBot="1" x14ac:dyDescent="0.3">
      <c r="A164" s="1319" t="s">
        <v>89</v>
      </c>
      <c r="B164" s="1319"/>
      <c r="C164" s="95"/>
      <c r="E164" s="95" t="str">
        <f t="shared" ref="E164:Q164" si="69">E97</f>
        <v xml:space="preserve"> Forintban!</v>
      </c>
      <c r="F164" s="95">
        <f t="shared" si="69"/>
        <v>0</v>
      </c>
      <c r="G164" s="95">
        <f t="shared" si="69"/>
        <v>0</v>
      </c>
      <c r="H164" s="95">
        <f t="shared" si="69"/>
        <v>0</v>
      </c>
      <c r="I164" s="95">
        <f t="shared" si="69"/>
        <v>0</v>
      </c>
      <c r="J164" s="95">
        <f t="shared" si="69"/>
        <v>0</v>
      </c>
      <c r="K164" s="95">
        <f t="shared" si="69"/>
        <v>0</v>
      </c>
      <c r="L164" s="95">
        <f t="shared" si="69"/>
        <v>0</v>
      </c>
      <c r="M164" s="95">
        <f t="shared" si="69"/>
        <v>0</v>
      </c>
      <c r="N164" s="95">
        <f t="shared" si="69"/>
        <v>0</v>
      </c>
      <c r="O164" s="95">
        <f t="shared" si="69"/>
        <v>0</v>
      </c>
      <c r="P164" s="95">
        <f t="shared" si="69"/>
        <v>0</v>
      </c>
      <c r="Q164" s="95">
        <f t="shared" si="69"/>
        <v>0</v>
      </c>
      <c r="R164" s="1166"/>
    </row>
    <row r="165" spans="1:20" ht="25.5" customHeight="1" thickBot="1" x14ac:dyDescent="0.3">
      <c r="A165" s="12">
        <v>1</v>
      </c>
      <c r="B165" s="15" t="s">
        <v>346</v>
      </c>
      <c r="C165" s="202">
        <f t="shared" ref="C165:Q165" si="70">+C69-C135</f>
        <v>-850051421</v>
      </c>
      <c r="D165" s="140">
        <f t="shared" si="70"/>
        <v>-1017051421</v>
      </c>
      <c r="E165" s="84">
        <f t="shared" si="70"/>
        <v>1592055805</v>
      </c>
      <c r="F165" s="84">
        <f t="shared" si="70"/>
        <v>494592631</v>
      </c>
      <c r="G165" s="84">
        <f t="shared" si="70"/>
        <v>542416558</v>
      </c>
      <c r="H165" s="84">
        <f t="shared" si="70"/>
        <v>1347640016</v>
      </c>
      <c r="I165" s="84">
        <f t="shared" si="70"/>
        <v>-233149643</v>
      </c>
      <c r="J165" s="84">
        <f t="shared" si="70"/>
        <v>-220210090</v>
      </c>
      <c r="K165" s="84">
        <f t="shared" si="70"/>
        <v>-200008719</v>
      </c>
      <c r="L165" s="84">
        <f t="shared" si="70"/>
        <v>-1280784928</v>
      </c>
      <c r="M165" s="84">
        <f t="shared" si="70"/>
        <v>-1266084994</v>
      </c>
      <c r="N165" s="84">
        <f t="shared" si="70"/>
        <v>-1222775811</v>
      </c>
      <c r="O165" s="84">
        <f t="shared" si="70"/>
        <v>169290519</v>
      </c>
      <c r="P165" s="84">
        <f t="shared" si="70"/>
        <v>-73172895</v>
      </c>
      <c r="Q165" s="84">
        <f t="shared" si="70"/>
        <v>1667200319</v>
      </c>
      <c r="R165" s="1166"/>
    </row>
    <row r="166" spans="1:20" ht="32.450000000000003" customHeight="1" thickBot="1" x14ac:dyDescent="0.3">
      <c r="A166" s="12" t="s">
        <v>7</v>
      </c>
      <c r="B166" s="15" t="s">
        <v>352</v>
      </c>
      <c r="C166" s="140">
        <f t="shared" ref="C166:Q166" si="71">+C93-C160</f>
        <v>850051421</v>
      </c>
      <c r="D166" s="140">
        <f t="shared" si="71"/>
        <v>1017051421</v>
      </c>
      <c r="E166" s="84">
        <f t="shared" si="71"/>
        <v>849101030</v>
      </c>
      <c r="F166" s="84">
        <f t="shared" si="71"/>
        <v>957947291</v>
      </c>
      <c r="G166" s="84">
        <f t="shared" si="71"/>
        <v>917580433</v>
      </c>
      <c r="H166" s="84">
        <f t="shared" si="71"/>
        <v>905329060</v>
      </c>
      <c r="I166" s="84">
        <f t="shared" si="71"/>
        <v>327465</v>
      </c>
      <c r="J166" s="84">
        <f t="shared" si="71"/>
        <v>330460</v>
      </c>
      <c r="K166" s="84">
        <f t="shared" si="71"/>
        <v>330460</v>
      </c>
      <c r="L166" s="84">
        <f t="shared" si="71"/>
        <v>26067184</v>
      </c>
      <c r="M166" s="84">
        <f t="shared" si="71"/>
        <v>25967633</v>
      </c>
      <c r="N166" s="84">
        <f t="shared" si="71"/>
        <v>25967633</v>
      </c>
      <c r="O166" s="84">
        <f t="shared" si="71"/>
        <v>-134290519</v>
      </c>
      <c r="P166" s="84">
        <f t="shared" si="71"/>
        <v>73172895</v>
      </c>
      <c r="Q166" s="84">
        <f t="shared" si="71"/>
        <v>-82526123</v>
      </c>
      <c r="R166" s="1166"/>
    </row>
  </sheetData>
  <mergeCells count="24">
    <mergeCell ref="B1:E1"/>
    <mergeCell ref="A2:E2"/>
    <mergeCell ref="A3:E3"/>
    <mergeCell ref="A4:E4"/>
    <mergeCell ref="A164:B164"/>
    <mergeCell ref="A8:A9"/>
    <mergeCell ref="B8:B9"/>
    <mergeCell ref="C8:E8"/>
    <mergeCell ref="A98:A99"/>
    <mergeCell ref="B98:B99"/>
    <mergeCell ref="C98:E98"/>
    <mergeCell ref="A163:E163"/>
    <mergeCell ref="A6:E6"/>
    <mergeCell ref="A96:E96"/>
    <mergeCell ref="A7:B7"/>
    <mergeCell ref="A97:B97"/>
    <mergeCell ref="O8:Q8"/>
    <mergeCell ref="O98:Q98"/>
    <mergeCell ref="F8:H8"/>
    <mergeCell ref="I8:K8"/>
    <mergeCell ref="L8:N8"/>
    <mergeCell ref="F98:H98"/>
    <mergeCell ref="I98:K98"/>
    <mergeCell ref="L98:N98"/>
  </mergeCells>
  <phoneticPr fontId="0" type="noConversion"/>
  <printOptions horizontalCentered="1"/>
  <pageMargins left="0.6692913385826772" right="0.6692913385826772" top="0.86614173228346458" bottom="0.86614173228346458" header="0" footer="0"/>
  <pageSetup paperSize="9" scale="72" fitToHeight="2" orientation="portrait" r:id="rId1"/>
  <headerFooter alignWithMargins="0"/>
  <rowBreaks count="2" manualBreakCount="2">
    <brk id="69" max="4" man="1"/>
    <brk id="146" max="4" man="1"/>
  </rowBreaks>
  <ignoredErrors>
    <ignoredError sqref="A2:A3 I14:J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J29"/>
  <sheetViews>
    <sheetView topLeftCell="C1" zoomScale="120" zoomScaleNormal="120" zoomScaleSheetLayoutView="130" workbookViewId="0">
      <selection activeCell="F14" sqref="F14"/>
    </sheetView>
  </sheetViews>
  <sheetFormatPr defaultRowHeight="12.75" x14ac:dyDescent="0.2"/>
  <cols>
    <col min="1" max="1" width="6.83203125" style="25" customWidth="1"/>
    <col min="2" max="2" width="48" style="56" customWidth="1"/>
    <col min="3" max="4" width="15.5" style="25" customWidth="1"/>
    <col min="5" max="5" width="15.1640625" style="25" customWidth="1"/>
    <col min="6" max="6" width="55.1640625" style="25" customWidth="1"/>
    <col min="7" max="9" width="15.5" style="25" customWidth="1"/>
    <col min="10" max="10" width="4.83203125" style="25" customWidth="1"/>
    <col min="11" max="16384" width="9.33203125" style="25"/>
  </cols>
  <sheetData>
    <row r="1" spans="1:10" ht="39.75" customHeight="1" x14ac:dyDescent="0.2">
      <c r="A1" s="1339" t="s">
        <v>93</v>
      </c>
      <c r="B1" s="1339"/>
      <c r="C1" s="1339"/>
      <c r="D1" s="1339"/>
      <c r="E1" s="1339"/>
      <c r="F1" s="1339"/>
      <c r="G1" s="1339"/>
      <c r="H1" s="1339"/>
      <c r="I1" s="1339"/>
      <c r="J1" s="1335" t="str">
        <f>CONCATENATE("2. melléklet ",Z_ALAPADATOK!A7," ",Z_ALAPADATOK!B7," ",Z_ALAPADATOK!C7," ",Z_ALAPADATOK!D7," ",Z_ALAPADATOK!E7," ",Z_ALAPADATOK!F7," ",Z_ALAPADATOK!G7," ",Z_ALAPADATOK!H7)</f>
        <v>2. melléklet a 12 / 2022. ( V.30. ) önkormányzati rendelethez</v>
      </c>
    </row>
    <row r="2" spans="1:10" ht="14.25" thickBot="1" x14ac:dyDescent="0.25">
      <c r="A2" s="274"/>
      <c r="B2" s="273"/>
      <c r="C2" s="274"/>
      <c r="D2" s="274"/>
      <c r="E2" s="274"/>
      <c r="F2" s="274"/>
      <c r="G2" s="277"/>
      <c r="H2" s="277"/>
      <c r="I2" s="277" t="str">
        <f>Z_1.1.sz.mell.!E7</f>
        <v xml:space="preserve"> Forintban!</v>
      </c>
      <c r="J2" s="1335"/>
    </row>
    <row r="3" spans="1:10" ht="18" customHeight="1" thickBot="1" x14ac:dyDescent="0.25">
      <c r="A3" s="1336" t="s">
        <v>51</v>
      </c>
      <c r="B3" s="1340" t="s">
        <v>39</v>
      </c>
      <c r="C3" s="1341"/>
      <c r="D3" s="1341"/>
      <c r="E3" s="1342"/>
      <c r="F3" s="1340" t="s">
        <v>40</v>
      </c>
      <c r="G3" s="1341"/>
      <c r="H3" s="1341"/>
      <c r="I3" s="1342"/>
      <c r="J3" s="1335"/>
    </row>
    <row r="4" spans="1:10" s="101" customFormat="1" ht="35.25" customHeight="1" thickBot="1" x14ac:dyDescent="0.25">
      <c r="A4" s="1337"/>
      <c r="B4" s="276" t="s">
        <v>44</v>
      </c>
      <c r="C4" s="249" t="str">
        <f>+CONCATENATE(Z_1.1.sz.mell.!C8," eredeti előirányzat")</f>
        <v>2021. évi eredeti előirányzat</v>
      </c>
      <c r="D4" s="247" t="str">
        <f>+CONCATENATE(Z_1.1.sz.mell.!C8," módosított előirányzat")</f>
        <v>2021. évi módosított előirányzat</v>
      </c>
      <c r="E4" s="247" t="str">
        <f>Z_1.1.sz.mell.!E9</f>
        <v>2021. XII. 31.
teljesítés</v>
      </c>
      <c r="F4" s="276" t="s">
        <v>44</v>
      </c>
      <c r="G4" s="249" t="str">
        <f>+C4</f>
        <v>2021. évi eredeti előirányzat</v>
      </c>
      <c r="H4" s="249" t="str">
        <f>+D4</f>
        <v>2021. évi módosított előirányzat</v>
      </c>
      <c r="I4" s="804" t="str">
        <f>Z_1.1.sz.mell.!E9</f>
        <v>2021. XII. 31.
teljesítés</v>
      </c>
      <c r="J4" s="1335"/>
    </row>
    <row r="5" spans="1:10" s="102" customFormat="1" ht="12" customHeight="1" thickBot="1" x14ac:dyDescent="0.25">
      <c r="A5" s="284" t="s">
        <v>354</v>
      </c>
      <c r="B5" s="285" t="s">
        <v>355</v>
      </c>
      <c r="C5" s="286" t="s">
        <v>356</v>
      </c>
      <c r="D5" s="287" t="s">
        <v>358</v>
      </c>
      <c r="E5" s="287" t="s">
        <v>357</v>
      </c>
      <c r="F5" s="827" t="s">
        <v>388</v>
      </c>
      <c r="G5" s="813" t="s">
        <v>360</v>
      </c>
      <c r="H5" s="813" t="s">
        <v>361</v>
      </c>
      <c r="I5" s="818" t="s">
        <v>389</v>
      </c>
      <c r="J5" s="1335"/>
    </row>
    <row r="6" spans="1:10" ht="12.95" customHeight="1" x14ac:dyDescent="0.2">
      <c r="A6" s="919" t="s">
        <v>6</v>
      </c>
      <c r="B6" s="920" t="s">
        <v>263</v>
      </c>
      <c r="C6" s="96">
        <f>Z_1.1.sz.mell.!C11</f>
        <v>1586722929</v>
      </c>
      <c r="D6" s="96">
        <f>Z_1.1.sz.mell.!D11</f>
        <v>1634262294</v>
      </c>
      <c r="E6" s="834">
        <f>Z_1.1.sz.mell.!E11</f>
        <v>1521550457</v>
      </c>
      <c r="F6" s="536" t="s">
        <v>45</v>
      </c>
      <c r="G6" s="780">
        <f>Z_1.1.sz.mell.!C102</f>
        <v>1258326512</v>
      </c>
      <c r="H6" s="780">
        <f>Z_1.1.sz.mell.!D102</f>
        <v>1267250778</v>
      </c>
      <c r="I6" s="928">
        <f>Z_1.1.sz.mell.!E102</f>
        <v>1196056088</v>
      </c>
      <c r="J6" s="1335"/>
    </row>
    <row r="7" spans="1:10" ht="12.95" customHeight="1" x14ac:dyDescent="0.2">
      <c r="A7" s="921" t="s">
        <v>7</v>
      </c>
      <c r="B7" s="922" t="s">
        <v>264</v>
      </c>
      <c r="C7" s="760">
        <f>Z_1.1.sz.mell.!C20</f>
        <v>355607178</v>
      </c>
      <c r="D7" s="760">
        <f>Z_1.1.sz.mell.!D20</f>
        <v>407991699</v>
      </c>
      <c r="E7" s="98">
        <f>Z_1.1.sz.mell.!E20</f>
        <v>349477031</v>
      </c>
      <c r="F7" s="922" t="s">
        <v>109</v>
      </c>
      <c r="G7" s="760">
        <f>Z_1.1.sz.mell.!C103</f>
        <v>215518047</v>
      </c>
      <c r="H7" s="760">
        <f>Z_1.1.sz.mell.!D103</f>
        <v>214274564</v>
      </c>
      <c r="I7" s="917">
        <f>Z_1.1.sz.mell.!E103</f>
        <v>198856561</v>
      </c>
      <c r="J7" s="1335"/>
    </row>
    <row r="8" spans="1:10" ht="12.95" customHeight="1" x14ac:dyDescent="0.2">
      <c r="A8" s="921" t="s">
        <v>8</v>
      </c>
      <c r="B8" s="922" t="s">
        <v>277</v>
      </c>
      <c r="C8" s="760">
        <f>Z_1.1.sz.mell.!C26</f>
        <v>131495850</v>
      </c>
      <c r="D8" s="760">
        <f>Z_1.1.sz.mell.!D26</f>
        <v>131495850</v>
      </c>
      <c r="E8" s="98">
        <f>Z_1.1.sz.mell.!E26</f>
        <v>100718749</v>
      </c>
      <c r="F8" s="922" t="s">
        <v>135</v>
      </c>
      <c r="G8" s="760">
        <f>Z_1.1.sz.mell.!C104</f>
        <v>985774764</v>
      </c>
      <c r="H8" s="760">
        <f>Z_1.1.sz.mell.!D104</f>
        <v>1196861314</v>
      </c>
      <c r="I8" s="917">
        <f>Z_1.1.sz.mell.!E104</f>
        <v>845928120</v>
      </c>
      <c r="J8" s="1335"/>
    </row>
    <row r="9" spans="1:10" ht="12.95" customHeight="1" x14ac:dyDescent="0.2">
      <c r="A9" s="921" t="s">
        <v>9</v>
      </c>
      <c r="B9" s="922" t="s">
        <v>100</v>
      </c>
      <c r="C9" s="760">
        <f>Z_1.1.sz.mell.!C34</f>
        <v>398600000</v>
      </c>
      <c r="D9" s="760">
        <f>Z_1.1.sz.mell.!D34</f>
        <v>398600000</v>
      </c>
      <c r="E9" s="98">
        <f>Z_1.1.sz.mell.!E34</f>
        <v>368475820</v>
      </c>
      <c r="F9" s="922" t="s">
        <v>110</v>
      </c>
      <c r="G9" s="760">
        <f>Z_1.1.sz.mell.!C105</f>
        <v>56500000</v>
      </c>
      <c r="H9" s="760">
        <f>Z_1.1.sz.mell.!D105</f>
        <v>49000000</v>
      </c>
      <c r="I9" s="917">
        <f>Z_1.1.sz.mell.!E105</f>
        <v>37424380</v>
      </c>
      <c r="J9" s="1335"/>
    </row>
    <row r="10" spans="1:10" ht="12.95" customHeight="1" x14ac:dyDescent="0.2">
      <c r="A10" s="921" t="s">
        <v>10</v>
      </c>
      <c r="B10" s="107" t="s">
        <v>297</v>
      </c>
      <c r="C10" s="760">
        <f>Z_1.1.sz.mell.!C41</f>
        <v>364458308</v>
      </c>
      <c r="D10" s="760">
        <f>Z_1.1.sz.mell.!D41</f>
        <v>368229537</v>
      </c>
      <c r="E10" s="98">
        <f>Z_1.1.sz.mell.!E41</f>
        <v>317885957</v>
      </c>
      <c r="F10" s="922" t="s">
        <v>111</v>
      </c>
      <c r="G10" s="760">
        <f>Z_1.1.sz.mell.!C106</f>
        <v>198934698</v>
      </c>
      <c r="H10" s="760">
        <f>Z_1.1.sz.mell.!D106</f>
        <v>258604322</v>
      </c>
      <c r="I10" s="917">
        <f>Z_1.1.sz.mell.!E106</f>
        <v>213249939</v>
      </c>
      <c r="J10" s="1335"/>
    </row>
    <row r="11" spans="1:10" ht="12.95" customHeight="1" x14ac:dyDescent="0.2">
      <c r="A11" s="921" t="s">
        <v>11</v>
      </c>
      <c r="B11" s="922" t="s">
        <v>265</v>
      </c>
      <c r="C11" s="98">
        <f>Z_1.1.sz.mell.!C59</f>
        <v>1200000</v>
      </c>
      <c r="D11" s="98">
        <f>Z_1.1.sz.mell.!D59</f>
        <v>15082586</v>
      </c>
      <c r="E11" s="98">
        <f>Z_1.1.sz.mell.!E59</f>
        <v>14672429</v>
      </c>
      <c r="F11" s="922" t="s">
        <v>36</v>
      </c>
      <c r="G11" s="760">
        <f>Z_1.1.sz.mell.!C118-Z_3.sz.mell!G11</f>
        <v>22803640</v>
      </c>
      <c r="H11" s="760">
        <f>Z_1.1.sz.mell.!D118-Z_3.sz.mell!H11</f>
        <v>3080436</v>
      </c>
      <c r="I11" s="917">
        <f>Z_1.1.sz.mell.!E118-Z_3.sz.mell!I11</f>
        <v>0</v>
      </c>
      <c r="J11" s="1335"/>
    </row>
    <row r="12" spans="1:10" ht="12.95" customHeight="1" thickBot="1" x14ac:dyDescent="0.25">
      <c r="A12" s="910" t="s">
        <v>12</v>
      </c>
      <c r="B12" s="911" t="s">
        <v>353</v>
      </c>
      <c r="C12" s="761">
        <f>Z_1.1.sz.mell.!C63</f>
        <v>0</v>
      </c>
      <c r="D12" s="761">
        <f>Z_1.1.sz.mell.!D63</f>
        <v>0</v>
      </c>
      <c r="E12" s="817">
        <f>Z_1.1.sz.mell.!E63</f>
        <v>0</v>
      </c>
      <c r="F12" s="26"/>
      <c r="G12" s="761"/>
      <c r="H12" s="761"/>
      <c r="I12" s="918"/>
      <c r="J12" s="1335"/>
    </row>
    <row r="13" spans="1:10" ht="13.5" thickBot="1" x14ac:dyDescent="0.25">
      <c r="A13" s="923" t="s">
        <v>13</v>
      </c>
      <c r="B13" s="914" t="s">
        <v>894</v>
      </c>
      <c r="C13" s="915">
        <f>C6+C7+C9+C10+C11</f>
        <v>2706588415</v>
      </c>
      <c r="D13" s="915">
        <f>D6+D7+D9+D10+D11</f>
        <v>2824166116</v>
      </c>
      <c r="E13" s="915">
        <f>E6+E7+E9+E10+E11</f>
        <v>2572061694</v>
      </c>
      <c r="F13" s="914" t="s">
        <v>898</v>
      </c>
      <c r="G13" s="915">
        <f>SUM(G6:G12)</f>
        <v>2737857661</v>
      </c>
      <c r="H13" s="915">
        <f>SUM(H6:H12)</f>
        <v>2989071414</v>
      </c>
      <c r="I13" s="936">
        <f>SUM(I6:I12)</f>
        <v>2491515088</v>
      </c>
      <c r="J13" s="1335"/>
    </row>
    <row r="14" spans="1:10" ht="12.95" customHeight="1" x14ac:dyDescent="0.2">
      <c r="A14" s="935" t="s">
        <v>14</v>
      </c>
      <c r="B14" s="924" t="s">
        <v>895</v>
      </c>
      <c r="C14" s="931">
        <f>+C15+C16+C17+C18</f>
        <v>46860776</v>
      </c>
      <c r="D14" s="931">
        <f>+D15+D16+D17+D18</f>
        <v>46860776</v>
      </c>
      <c r="E14" s="931">
        <f>+E15+E16+E17+E18</f>
        <v>46860776</v>
      </c>
      <c r="F14" s="925" t="s">
        <v>117</v>
      </c>
      <c r="G14" s="916"/>
      <c r="H14" s="916"/>
      <c r="I14" s="774"/>
      <c r="J14" s="1335"/>
    </row>
    <row r="15" spans="1:10" ht="12.95" customHeight="1" x14ac:dyDescent="0.2">
      <c r="A15" s="934" t="s">
        <v>15</v>
      </c>
      <c r="B15" s="925" t="s">
        <v>128</v>
      </c>
      <c r="C15" s="912">
        <f>Z_1.1.sz.mell.!C79-Z_3.sz.mell!C14</f>
        <v>46860776</v>
      </c>
      <c r="D15" s="912">
        <f>Z_1.1.sz.mell.!D79-Z_3.sz.mell!D14</f>
        <v>46860776</v>
      </c>
      <c r="E15" s="912">
        <f>Z_1.1.sz.mell.!E79-Z_3.sz.mell!E14</f>
        <v>46860776</v>
      </c>
      <c r="F15" s="925" t="s">
        <v>267</v>
      </c>
      <c r="G15" s="912">
        <f>Z_1.1.sz.mell.!C138</f>
        <v>850000000</v>
      </c>
      <c r="H15" s="912">
        <f>Z_1.1.sz.mell.!D138</f>
        <v>1003497787</v>
      </c>
      <c r="I15" s="913">
        <f>Z_1.1.sz.mell.!E138</f>
        <v>1003497787</v>
      </c>
      <c r="J15" s="1335"/>
    </row>
    <row r="16" spans="1:10" ht="12.95" customHeight="1" x14ac:dyDescent="0.2">
      <c r="A16" s="934" t="s">
        <v>16</v>
      </c>
      <c r="B16" s="925" t="s">
        <v>129</v>
      </c>
      <c r="C16" s="912"/>
      <c r="D16" s="912"/>
      <c r="E16" s="912"/>
      <c r="F16" s="925" t="s">
        <v>91</v>
      </c>
      <c r="G16" s="912"/>
      <c r="H16" s="912"/>
      <c r="I16" s="775"/>
      <c r="J16" s="1335"/>
    </row>
    <row r="17" spans="1:10" ht="12.95" customHeight="1" x14ac:dyDescent="0.2">
      <c r="A17" s="934" t="s">
        <v>17</v>
      </c>
      <c r="B17" s="925" t="s">
        <v>133</v>
      </c>
      <c r="C17" s="912"/>
      <c r="D17" s="912"/>
      <c r="E17" s="912"/>
      <c r="F17" s="925" t="s">
        <v>92</v>
      </c>
      <c r="G17" s="912"/>
      <c r="H17" s="912"/>
      <c r="I17" s="775"/>
      <c r="J17" s="1335"/>
    </row>
    <row r="18" spans="1:10" ht="12.95" customHeight="1" x14ac:dyDescent="0.2">
      <c r="A18" s="934" t="s">
        <v>18</v>
      </c>
      <c r="B18" s="925" t="s">
        <v>134</v>
      </c>
      <c r="C18" s="912"/>
      <c r="D18" s="912"/>
      <c r="E18" s="912"/>
      <c r="F18" s="924" t="s">
        <v>136</v>
      </c>
      <c r="G18" s="912"/>
      <c r="H18" s="912"/>
      <c r="I18" s="775"/>
      <c r="J18" s="1335"/>
    </row>
    <row r="19" spans="1:10" ht="12.95" customHeight="1" x14ac:dyDescent="0.2">
      <c r="A19" s="921" t="s">
        <v>19</v>
      </c>
      <c r="B19" s="925" t="s">
        <v>266</v>
      </c>
      <c r="C19" s="912"/>
      <c r="D19" s="912"/>
      <c r="E19" s="912"/>
      <c r="F19" s="925" t="s">
        <v>118</v>
      </c>
      <c r="G19" s="912"/>
      <c r="H19" s="912"/>
      <c r="I19" s="775"/>
      <c r="J19" s="1335"/>
    </row>
    <row r="20" spans="1:10" ht="12.95" customHeight="1" x14ac:dyDescent="0.2">
      <c r="A20" s="921" t="s">
        <v>20</v>
      </c>
      <c r="B20" s="925" t="s">
        <v>896</v>
      </c>
      <c r="C20" s="926">
        <f>C21+C22</f>
        <v>850000000</v>
      </c>
      <c r="D20" s="926">
        <f t="shared" ref="D20:E20" si="0">D21+D22</f>
        <v>1003497787</v>
      </c>
      <c r="E20" s="926">
        <f t="shared" si="0"/>
        <v>1003497787</v>
      </c>
      <c r="F20" s="920" t="s">
        <v>336</v>
      </c>
      <c r="G20" s="912"/>
      <c r="H20" s="912"/>
      <c r="I20" s="775"/>
      <c r="J20" s="1335"/>
    </row>
    <row r="21" spans="1:10" ht="12.95" customHeight="1" x14ac:dyDescent="0.2">
      <c r="A21" s="921" t="s">
        <v>21</v>
      </c>
      <c r="B21" s="925" t="s">
        <v>893</v>
      </c>
      <c r="C21" s="912">
        <f>Z_1.1.sz.mell.!C72</f>
        <v>850000000</v>
      </c>
      <c r="D21" s="912">
        <f>Z_1.1.sz.mell.!D72</f>
        <v>1003497787</v>
      </c>
      <c r="E21" s="913">
        <f>Z_1.1.sz.mell.!E72</f>
        <v>1003497787</v>
      </c>
      <c r="F21" s="922" t="s">
        <v>342</v>
      </c>
      <c r="G21" s="912"/>
      <c r="H21" s="912"/>
      <c r="I21" s="775"/>
      <c r="J21" s="1335"/>
    </row>
    <row r="22" spans="1:10" s="858" customFormat="1" ht="12.95" customHeight="1" x14ac:dyDescent="0.2">
      <c r="A22" s="929" t="s">
        <v>22</v>
      </c>
      <c r="B22" s="925" t="s">
        <v>266</v>
      </c>
      <c r="C22" s="933"/>
      <c r="D22" s="916"/>
      <c r="E22" s="916"/>
      <c r="F22" s="922" t="s">
        <v>343</v>
      </c>
      <c r="G22" s="912"/>
      <c r="H22" s="912"/>
      <c r="I22" s="775"/>
      <c r="J22" s="1335"/>
    </row>
    <row r="23" spans="1:10" ht="12.95" customHeight="1" x14ac:dyDescent="0.2">
      <c r="A23" s="921" t="s">
        <v>23</v>
      </c>
      <c r="B23" s="925" t="s">
        <v>800</v>
      </c>
      <c r="C23" s="912">
        <f>Z_1.1.sz.mell.!C83</f>
        <v>48966750</v>
      </c>
      <c r="D23" s="912">
        <f>Z_1.1.sz.mell.!D83</f>
        <v>48966750</v>
      </c>
      <c r="E23" s="912">
        <f>Z_1.1.sz.mell.!E83</f>
        <v>55076107</v>
      </c>
      <c r="F23" s="922" t="s">
        <v>261</v>
      </c>
      <c r="G23" s="912">
        <f>Z_1.1.sz.mell.!C149</f>
        <v>48966750</v>
      </c>
      <c r="H23" s="912">
        <f>Z_1.1.sz.mell.!D149</f>
        <v>48966750</v>
      </c>
      <c r="I23" s="913">
        <f>Z_1.1.sz.mell.!E149</f>
        <v>48966750</v>
      </c>
      <c r="J23" s="1335"/>
    </row>
    <row r="24" spans="1:10" ht="12.95" customHeight="1" thickBot="1" x14ac:dyDescent="0.25">
      <c r="A24" s="929" t="s">
        <v>24</v>
      </c>
      <c r="B24" s="924" t="s">
        <v>224</v>
      </c>
      <c r="C24" s="916"/>
      <c r="D24" s="916"/>
      <c r="E24" s="916"/>
      <c r="F24" s="930"/>
      <c r="G24" s="916"/>
      <c r="H24" s="916"/>
      <c r="I24" s="774"/>
      <c r="J24" s="1335"/>
    </row>
    <row r="25" spans="1:10" ht="24" customHeight="1" thickBot="1" x14ac:dyDescent="0.25">
      <c r="A25" s="923" t="s">
        <v>25</v>
      </c>
      <c r="B25" s="914" t="s">
        <v>892</v>
      </c>
      <c r="C25" s="915">
        <f>+C14+C20+C23+C24</f>
        <v>945827526</v>
      </c>
      <c r="D25" s="915">
        <f t="shared" ref="D25:E25" si="1">+D14+D20+D23+D24</f>
        <v>1099325313</v>
      </c>
      <c r="E25" s="915">
        <f t="shared" si="1"/>
        <v>1105434670</v>
      </c>
      <c r="F25" s="914" t="s">
        <v>897</v>
      </c>
      <c r="G25" s="915">
        <f>SUM(G14:G24)</f>
        <v>898966750</v>
      </c>
      <c r="H25" s="915">
        <f>SUM(H14:H24)</f>
        <v>1052464537</v>
      </c>
      <c r="I25" s="936">
        <f>SUM(I14:I24)</f>
        <v>1052464537</v>
      </c>
      <c r="J25" s="1335"/>
    </row>
    <row r="26" spans="1:10" ht="13.5" thickBot="1" x14ac:dyDescent="0.25">
      <c r="A26" s="923" t="s">
        <v>26</v>
      </c>
      <c r="B26" s="927" t="s">
        <v>907</v>
      </c>
      <c r="C26" s="242">
        <f>+C13+C25</f>
        <v>3652415941</v>
      </c>
      <c r="D26" s="242">
        <f>+D13+D25</f>
        <v>3923491429</v>
      </c>
      <c r="E26" s="932">
        <f>+E13+E25</f>
        <v>3677496364</v>
      </c>
      <c r="F26" s="927" t="s">
        <v>908</v>
      </c>
      <c r="G26" s="242">
        <f>+G13+G25</f>
        <v>3636824411</v>
      </c>
      <c r="H26" s="242">
        <f>+H13+H25</f>
        <v>4041535951</v>
      </c>
      <c r="I26" s="932">
        <f>+I13+I25</f>
        <v>3543979625</v>
      </c>
      <c r="J26" s="1335"/>
    </row>
    <row r="27" spans="1:10" ht="13.5" thickBot="1" x14ac:dyDescent="0.25">
      <c r="A27" s="923" t="s">
        <v>27</v>
      </c>
      <c r="B27" s="927" t="s">
        <v>95</v>
      </c>
      <c r="C27" s="242">
        <f>IF(C13-G13&lt;0,G13-C13,"-")</f>
        <v>31269246</v>
      </c>
      <c r="D27" s="242">
        <f>IF(D13-H13&lt;0,H13-D13,"-")</f>
        <v>164905298</v>
      </c>
      <c r="E27" s="932" t="str">
        <f>IF(E13-I13&lt;0,I13-E13,"-")</f>
        <v>-</v>
      </c>
      <c r="F27" s="927" t="s">
        <v>96</v>
      </c>
      <c r="G27" s="242" t="str">
        <f>IF(C13-G13&gt;0,C13-G13,"-")</f>
        <v>-</v>
      </c>
      <c r="H27" s="242" t="str">
        <f>IF(D13-H13&gt;0,D13-H13,"-")</f>
        <v>-</v>
      </c>
      <c r="I27" s="932">
        <f>IF(E13-I13&gt;0,E13-I13,"-")</f>
        <v>80546606</v>
      </c>
      <c r="J27" s="1335"/>
    </row>
    <row r="28" spans="1:10" ht="13.5" thickBot="1" x14ac:dyDescent="0.25">
      <c r="A28" s="923" t="s">
        <v>28</v>
      </c>
      <c r="B28" s="927" t="s">
        <v>440</v>
      </c>
      <c r="C28" s="242" t="str">
        <f>IF(C26-G26&lt;0,G26-C26,"-")</f>
        <v>-</v>
      </c>
      <c r="D28" s="242">
        <f>IF(D26-H26&lt;0,H26-D26,"-")</f>
        <v>118044522</v>
      </c>
      <c r="E28" s="242" t="str">
        <f>IF(E26-I26&lt;0,I26-E26,"-")</f>
        <v>-</v>
      </c>
      <c r="F28" s="927" t="s">
        <v>441</v>
      </c>
      <c r="G28" s="242">
        <f>IF(C26-G26&gt;0,C26-G26,"-")</f>
        <v>15591530</v>
      </c>
      <c r="H28" s="242" t="str">
        <f>IF(D26-H26&gt;0,D26-H26,"-")</f>
        <v>-</v>
      </c>
      <c r="I28" s="909">
        <f>IF(E26-I26&gt;0,E26-I26,"-")</f>
        <v>133516739</v>
      </c>
      <c r="J28" s="1335"/>
    </row>
    <row r="29" spans="1:10" ht="18.75" x14ac:dyDescent="0.2">
      <c r="B29" s="1338"/>
      <c r="C29" s="1338"/>
      <c r="D29" s="1338"/>
      <c r="E29" s="1338"/>
      <c r="F29" s="1338"/>
      <c r="J29" s="796"/>
    </row>
  </sheetData>
  <mergeCells count="6">
    <mergeCell ref="J1:J28"/>
    <mergeCell ref="A3:A4"/>
    <mergeCell ref="B29:F29"/>
    <mergeCell ref="A1:I1"/>
    <mergeCell ref="B3:E3"/>
    <mergeCell ref="F3:I3"/>
  </mergeCells>
  <phoneticPr fontId="0" type="noConversion"/>
  <printOptions horizontalCentered="1"/>
  <pageMargins left="0.33" right="0.48" top="0.9055118110236221" bottom="0.5" header="0.6692913385826772" footer="0.28000000000000003"/>
  <pageSetup paperSize="9" scale="72" orientation="landscape" verticalDpi="300" r:id="rId1"/>
  <headerFooter alignWithMargins="0">
    <oddHeader xml:space="preserve">&amp;R&amp;"Times New Roman CE,Félkövér dőlt"&amp;11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/>
  <dimension ref="A1:J28"/>
  <sheetViews>
    <sheetView topLeftCell="B1" zoomScale="120" zoomScaleNormal="120" zoomScaleSheetLayoutView="115" workbookViewId="0">
      <selection activeCell="C13" sqref="C13"/>
    </sheetView>
  </sheetViews>
  <sheetFormatPr defaultRowHeight="12.75" x14ac:dyDescent="0.2"/>
  <cols>
    <col min="1" max="1" width="6.83203125" style="25" customWidth="1"/>
    <col min="2" max="2" width="49.83203125" style="56" customWidth="1"/>
    <col min="3" max="5" width="15.5" style="25" customWidth="1"/>
    <col min="6" max="6" width="49.83203125" style="25" customWidth="1"/>
    <col min="7" max="9" width="15.5" style="25" customWidth="1"/>
    <col min="10" max="10" width="4.83203125" style="25" customWidth="1"/>
    <col min="11" max="16384" width="9.33203125" style="25"/>
  </cols>
  <sheetData>
    <row r="1" spans="1:10" ht="47.25" customHeight="1" x14ac:dyDescent="0.2">
      <c r="A1" s="274"/>
      <c r="B1" s="1339" t="s">
        <v>94</v>
      </c>
      <c r="C1" s="1339"/>
      <c r="D1" s="1339"/>
      <c r="E1" s="1339"/>
      <c r="F1" s="1339"/>
      <c r="G1" s="1339"/>
      <c r="H1" s="1339"/>
      <c r="I1" s="1339"/>
      <c r="J1" s="1343" t="str">
        <f>CONCATENATE("3. melléklet ",Z_ALAPADATOK!A7," ",Z_ALAPADATOK!B7," ",Z_ALAPADATOK!C7," ",Z_ALAPADATOK!D7," ",Z_ALAPADATOK!E7," ",Z_ALAPADATOK!F7," ",Z_ALAPADATOK!G7," ",Z_ALAPADATOK!H7)</f>
        <v>3. melléklet a 12 / 2022. ( V.30. ) önkormányzati rendelethez</v>
      </c>
    </row>
    <row r="2" spans="1:10" ht="14.25" thickBot="1" x14ac:dyDescent="0.25">
      <c r="A2" s="274"/>
      <c r="B2" s="273"/>
      <c r="C2" s="274"/>
      <c r="D2" s="274"/>
      <c r="E2" s="274"/>
      <c r="F2" s="274"/>
      <c r="G2" s="277"/>
      <c r="H2" s="277"/>
      <c r="I2" s="277" t="str">
        <f>Z_2.sz.mell!I2</f>
        <v xml:space="preserve"> Forintban!</v>
      </c>
      <c r="J2" s="1343"/>
    </row>
    <row r="3" spans="1:10" ht="13.5" customHeight="1" thickBot="1" x14ac:dyDescent="0.25">
      <c r="A3" s="1336" t="s">
        <v>51</v>
      </c>
      <c r="B3" s="278" t="s">
        <v>39</v>
      </c>
      <c r="C3" s="279"/>
      <c r="D3" s="280"/>
      <c r="E3" s="280"/>
      <c r="F3" s="278" t="s">
        <v>40</v>
      </c>
      <c r="G3" s="281"/>
      <c r="H3" s="282"/>
      <c r="I3" s="283"/>
      <c r="J3" s="1343"/>
    </row>
    <row r="4" spans="1:10" s="101" customFormat="1" ht="36.75" thickBot="1" x14ac:dyDescent="0.25">
      <c r="A4" s="1337"/>
      <c r="B4" s="276" t="s">
        <v>44</v>
      </c>
      <c r="C4" s="249" t="str">
        <f>+CONCATENATE(Z_1.1.sz.mell.!C8," eredeti előirányzat")</f>
        <v>2021. évi eredeti előirányzat</v>
      </c>
      <c r="D4" s="247" t="str">
        <f>+CONCATENATE(Z_1.1.sz.mell.!C8," módosított előirányzat")</f>
        <v>2021. évi módosított előirányzat</v>
      </c>
      <c r="E4" s="247" t="str">
        <f>CONCATENATE(Z_2.sz.mell!E4)</f>
        <v>2021. XII. 31.
teljesítés</v>
      </c>
      <c r="F4" s="276" t="s">
        <v>44</v>
      </c>
      <c r="G4" s="249" t="str">
        <f>+C4</f>
        <v>2021. évi eredeti előirányzat</v>
      </c>
      <c r="H4" s="249" t="str">
        <f>+D4</f>
        <v>2021. évi módosított előirányzat</v>
      </c>
      <c r="I4" s="248" t="str">
        <f>+E4</f>
        <v>2021. XII. 31.
teljesítés</v>
      </c>
      <c r="J4" s="1343"/>
    </row>
    <row r="5" spans="1:10" s="101" customFormat="1" ht="13.5" thickBot="1" x14ac:dyDescent="0.25">
      <c r="A5" s="284" t="s">
        <v>354</v>
      </c>
      <c r="B5" s="285" t="s">
        <v>355</v>
      </c>
      <c r="C5" s="286" t="s">
        <v>356</v>
      </c>
      <c r="D5" s="286" t="s">
        <v>358</v>
      </c>
      <c r="E5" s="286" t="s">
        <v>357</v>
      </c>
      <c r="F5" s="285" t="s">
        <v>359</v>
      </c>
      <c r="G5" s="286" t="s">
        <v>360</v>
      </c>
      <c r="H5" s="286" t="s">
        <v>361</v>
      </c>
      <c r="I5" s="288" t="s">
        <v>389</v>
      </c>
      <c r="J5" s="1343"/>
    </row>
    <row r="6" spans="1:10" ht="12.95" customHeight="1" x14ac:dyDescent="0.2">
      <c r="A6" s="103" t="s">
        <v>6</v>
      </c>
      <c r="B6" s="104" t="s">
        <v>268</v>
      </c>
      <c r="C6" s="96">
        <f>Z_1.1.sz.mell.!C27</f>
        <v>189408354</v>
      </c>
      <c r="D6" s="96">
        <f>Z_1.1.sz.mell.!D27</f>
        <v>2069703421</v>
      </c>
      <c r="E6" s="96">
        <f>Z_1.1.sz.mell.!E27</f>
        <v>2057307126</v>
      </c>
      <c r="F6" s="536" t="s">
        <v>130</v>
      </c>
      <c r="G6" s="219">
        <f>Z_1.1.sz.mell.!C122</f>
        <v>612539782</v>
      </c>
      <c r="H6" s="219">
        <f>Z_1.1.sz.mell.!D122</f>
        <v>962678806</v>
      </c>
      <c r="I6" s="122">
        <f>Z_1.1.sz.mell.!E122</f>
        <v>274821481</v>
      </c>
      <c r="J6" s="1343"/>
    </row>
    <row r="7" spans="1:10" x14ac:dyDescent="0.2">
      <c r="A7" s="105" t="s">
        <v>7</v>
      </c>
      <c r="B7" s="106" t="s">
        <v>269</v>
      </c>
      <c r="C7" s="97">
        <f>Z_1.1.sz.mell.!C33</f>
        <v>80423773</v>
      </c>
      <c r="D7" s="97">
        <f>Z_1.1.sz.mell.!D33</f>
        <v>80423773</v>
      </c>
      <c r="E7" s="97">
        <f>Z_1.1.sz.mell.!E33</f>
        <v>71627578</v>
      </c>
      <c r="F7" s="106" t="s">
        <v>273</v>
      </c>
      <c r="G7" s="96">
        <f>Z_1.1.sz.mell.!C123</f>
        <v>401925076</v>
      </c>
      <c r="H7" s="96">
        <f>Z_1.1.sz.mell.!D123</f>
        <v>257902823</v>
      </c>
      <c r="I7" s="537">
        <f>Z_1.1.sz.mell.!E123</f>
        <v>0</v>
      </c>
      <c r="J7" s="1343"/>
    </row>
    <row r="8" spans="1:10" ht="12.95" customHeight="1" x14ac:dyDescent="0.2">
      <c r="A8" s="105" t="s">
        <v>8</v>
      </c>
      <c r="B8" s="106" t="s">
        <v>1</v>
      </c>
      <c r="C8" s="97">
        <f>Z_1.1.sz.mell.!C53</f>
        <v>63000000</v>
      </c>
      <c r="D8" s="97">
        <f>Z_1.1.sz.mell.!D53</f>
        <v>63000000</v>
      </c>
      <c r="E8" s="97">
        <f>Z_1.1.sz.mell.!E53</f>
        <v>24015126</v>
      </c>
      <c r="F8" s="106" t="s">
        <v>113</v>
      </c>
      <c r="G8" s="96">
        <f>Z_1.1.sz.mell.!C124</f>
        <v>359163430</v>
      </c>
      <c r="H8" s="96">
        <f>Z_1.1.sz.mell.!D124</f>
        <v>1938372245</v>
      </c>
      <c r="I8" s="537">
        <f>Z_1.1.sz.mell.!E124</f>
        <v>292429761</v>
      </c>
      <c r="J8" s="1343"/>
    </row>
    <row r="9" spans="1:10" ht="12.95" customHeight="1" x14ac:dyDescent="0.2">
      <c r="A9" s="105" t="s">
        <v>9</v>
      </c>
      <c r="B9" s="106" t="s">
        <v>270</v>
      </c>
      <c r="C9" s="97">
        <f>Z_1.1.sz.mell.!C64</f>
        <v>0</v>
      </c>
      <c r="D9" s="97">
        <f>Z_1.1.sz.mell.!D64</f>
        <v>250000</v>
      </c>
      <c r="E9" s="97">
        <f>Z_1.1.sz.mell.!E64</f>
        <v>250000</v>
      </c>
      <c r="F9" s="106" t="s">
        <v>274</v>
      </c>
      <c r="G9" s="96">
        <f>Z_1.1.sz.mell.!C125</f>
        <v>290689778</v>
      </c>
      <c r="H9" s="96">
        <f>Z_1.1.sz.mell.!D125</f>
        <v>391940633</v>
      </c>
      <c r="I9" s="537">
        <f>Z_1.1.sz.mell.!E125</f>
        <v>0</v>
      </c>
      <c r="J9" s="1343"/>
    </row>
    <row r="10" spans="1:10" ht="12.75" customHeight="1" x14ac:dyDescent="0.2">
      <c r="A10" s="105" t="s">
        <v>10</v>
      </c>
      <c r="B10" s="106" t="s">
        <v>271</v>
      </c>
      <c r="C10" s="97">
        <f>Z_1.1.sz.mell.!C68</f>
        <v>0</v>
      </c>
      <c r="D10" s="97">
        <f>Z_1.1.sz.mell.!D68</f>
        <v>0</v>
      </c>
      <c r="E10" s="97">
        <f>Z_1.1.sz.mell.!E68</f>
        <v>0</v>
      </c>
      <c r="F10" s="106" t="s">
        <v>132</v>
      </c>
      <c r="G10" s="96">
        <f>Z_1.1.sz.mell.!C126</f>
        <v>5911806</v>
      </c>
      <c r="H10" s="96">
        <f>Z_1.1.sz.mell.!D126</f>
        <v>5911806</v>
      </c>
      <c r="I10" s="537">
        <f>Z_1.1.sz.mell.!E126</f>
        <v>2811811</v>
      </c>
      <c r="J10" s="1343"/>
    </row>
    <row r="11" spans="1:10" ht="12.95" customHeight="1" thickBot="1" x14ac:dyDescent="0.25">
      <c r="A11" s="105" t="s">
        <v>11</v>
      </c>
      <c r="B11" s="106" t="s">
        <v>272</v>
      </c>
      <c r="C11" s="98"/>
      <c r="D11" s="98"/>
      <c r="E11" s="98"/>
      <c r="F11" s="538" t="s">
        <v>36</v>
      </c>
      <c r="G11" s="539">
        <v>93575511</v>
      </c>
      <c r="H11" s="539">
        <v>78136687</v>
      </c>
      <c r="I11" s="540"/>
      <c r="J11" s="1343"/>
    </row>
    <row r="12" spans="1:10" ht="15.95" customHeight="1" thickBot="1" x14ac:dyDescent="0.25">
      <c r="A12" s="108" t="s">
        <v>12</v>
      </c>
      <c r="B12" s="44" t="s">
        <v>899</v>
      </c>
      <c r="C12" s="99">
        <f>+C6+C8+C9+C11</f>
        <v>252408354</v>
      </c>
      <c r="D12" s="99">
        <f>+D6+D8+D9+D11</f>
        <v>2132953421</v>
      </c>
      <c r="E12" s="99">
        <f>+E6+E8+E9+E11</f>
        <v>2081572252</v>
      </c>
      <c r="F12" s="44" t="s">
        <v>906</v>
      </c>
      <c r="G12" s="99">
        <f>+G6+G8+G10+G11</f>
        <v>1071190529</v>
      </c>
      <c r="H12" s="99">
        <f>+H6+H8+H10+H11</f>
        <v>2985099544</v>
      </c>
      <c r="I12" s="124">
        <f>+I6+I8+I10+I11</f>
        <v>570063053</v>
      </c>
      <c r="J12" s="1343"/>
    </row>
    <row r="13" spans="1:10" ht="12.95" customHeight="1" x14ac:dyDescent="0.2">
      <c r="A13" s="103" t="s">
        <v>13</v>
      </c>
      <c r="B13" s="114" t="s">
        <v>900</v>
      </c>
      <c r="C13" s="121">
        <f>+C14+C15+C16+C17+C18</f>
        <v>809621863</v>
      </c>
      <c r="D13" s="121">
        <f>+D14+D15+D16+D17+D18</f>
        <v>809621863</v>
      </c>
      <c r="E13" s="121">
        <f>+E14+E15+E16+E17+E18</f>
        <v>809621863</v>
      </c>
      <c r="F13" s="541" t="s">
        <v>117</v>
      </c>
      <c r="G13" s="542"/>
      <c r="H13" s="542"/>
      <c r="I13" s="543"/>
      <c r="J13" s="1343"/>
    </row>
    <row r="14" spans="1:10" ht="12.95" customHeight="1" x14ac:dyDescent="0.2">
      <c r="A14" s="105" t="s">
        <v>14</v>
      </c>
      <c r="B14" s="115" t="s">
        <v>137</v>
      </c>
      <c r="C14" s="34">
        <v>809621863</v>
      </c>
      <c r="D14" s="34">
        <v>809621863</v>
      </c>
      <c r="E14" s="34">
        <v>809621863</v>
      </c>
      <c r="F14" s="110" t="s">
        <v>120</v>
      </c>
      <c r="G14" s="34"/>
      <c r="H14" s="34"/>
      <c r="I14" s="215"/>
      <c r="J14" s="1343"/>
    </row>
    <row r="15" spans="1:10" ht="12.95" customHeight="1" x14ac:dyDescent="0.2">
      <c r="A15" s="103" t="s">
        <v>15</v>
      </c>
      <c r="B15" s="115" t="s">
        <v>138</v>
      </c>
      <c r="C15" s="34"/>
      <c r="D15" s="34"/>
      <c r="E15" s="34"/>
      <c r="F15" s="110" t="s">
        <v>91</v>
      </c>
      <c r="G15" s="34"/>
      <c r="H15" s="34"/>
      <c r="I15" s="215"/>
      <c r="J15" s="1343"/>
    </row>
    <row r="16" spans="1:10" ht="12.95" customHeight="1" x14ac:dyDescent="0.2">
      <c r="A16" s="105" t="s">
        <v>16</v>
      </c>
      <c r="B16" s="115" t="s">
        <v>139</v>
      </c>
      <c r="C16" s="34"/>
      <c r="D16" s="34"/>
      <c r="E16" s="34"/>
      <c r="F16" s="110" t="s">
        <v>92</v>
      </c>
      <c r="G16" s="34">
        <f>Z_1.1.sz.mell.!C137</f>
        <v>24993747</v>
      </c>
      <c r="H16" s="34">
        <f>Z_1.1.sz.mell.!D137</f>
        <v>24993747</v>
      </c>
      <c r="I16" s="544">
        <f>Z_1.1.sz.mell.!E137</f>
        <v>24993747</v>
      </c>
      <c r="J16" s="1343"/>
    </row>
    <row r="17" spans="1:10" ht="12.95" customHeight="1" x14ac:dyDescent="0.2">
      <c r="A17" s="103" t="s">
        <v>17</v>
      </c>
      <c r="B17" s="115" t="s">
        <v>140</v>
      </c>
      <c r="C17" s="34"/>
      <c r="D17" s="34"/>
      <c r="E17" s="34"/>
      <c r="F17" s="109" t="s">
        <v>136</v>
      </c>
      <c r="G17" s="34"/>
      <c r="H17" s="34"/>
      <c r="I17" s="215"/>
      <c r="J17" s="1343"/>
    </row>
    <row r="18" spans="1:10" ht="12.95" customHeight="1" x14ac:dyDescent="0.2">
      <c r="A18" s="105" t="s">
        <v>18</v>
      </c>
      <c r="B18" s="116" t="s">
        <v>141</v>
      </c>
      <c r="C18" s="34"/>
      <c r="D18" s="34"/>
      <c r="E18" s="34"/>
      <c r="F18" s="110" t="s">
        <v>121</v>
      </c>
      <c r="G18" s="34"/>
      <c r="H18" s="34"/>
      <c r="I18" s="215"/>
      <c r="J18" s="1343"/>
    </row>
    <row r="19" spans="1:10" ht="12.95" customHeight="1" x14ac:dyDescent="0.2">
      <c r="A19" s="103" t="s">
        <v>19</v>
      </c>
      <c r="B19" s="117" t="s">
        <v>901</v>
      </c>
      <c r="C19" s="111">
        <f>+C20+C21+C22+C23+C24</f>
        <v>18562529</v>
      </c>
      <c r="D19" s="111">
        <f>+D20+D21+D22+D23+D24</f>
        <v>185562529</v>
      </c>
      <c r="E19" s="111">
        <f>+E20+E21+E22+E23+E24</f>
        <v>11502781</v>
      </c>
      <c r="F19" s="118" t="s">
        <v>119</v>
      </c>
      <c r="G19" s="34"/>
      <c r="H19" s="34"/>
      <c r="I19" s="215"/>
      <c r="J19" s="1343"/>
    </row>
    <row r="20" spans="1:10" ht="12.95" customHeight="1" x14ac:dyDescent="0.2">
      <c r="A20" s="105" t="s">
        <v>20</v>
      </c>
      <c r="B20" s="116" t="s">
        <v>142</v>
      </c>
      <c r="C20" s="34">
        <f>Z_1.1.sz.mell.!C71</f>
        <v>18562529</v>
      </c>
      <c r="D20" s="34">
        <f>Z_1.1.sz.mell.!D71</f>
        <v>185562529</v>
      </c>
      <c r="E20" s="34">
        <f>Z_1.1.sz.mell.!E71</f>
        <v>11502781</v>
      </c>
      <c r="F20" s="118" t="s">
        <v>275</v>
      </c>
      <c r="G20" s="34"/>
      <c r="H20" s="34"/>
      <c r="I20" s="215"/>
      <c r="J20" s="1343"/>
    </row>
    <row r="21" spans="1:10" ht="12.95" customHeight="1" x14ac:dyDescent="0.2">
      <c r="A21" s="103" t="s">
        <v>21</v>
      </c>
      <c r="B21" s="116" t="s">
        <v>143</v>
      </c>
      <c r="C21" s="34"/>
      <c r="D21" s="34"/>
      <c r="E21" s="34"/>
      <c r="F21" s="113"/>
      <c r="G21" s="34"/>
      <c r="H21" s="34"/>
      <c r="I21" s="215"/>
      <c r="J21" s="1343"/>
    </row>
    <row r="22" spans="1:10" ht="12.95" customHeight="1" x14ac:dyDescent="0.2">
      <c r="A22" s="105" t="s">
        <v>22</v>
      </c>
      <c r="B22" s="115" t="s">
        <v>144</v>
      </c>
      <c r="C22" s="34"/>
      <c r="D22" s="34"/>
      <c r="E22" s="34"/>
      <c r="F22" s="42"/>
      <c r="G22" s="34"/>
      <c r="H22" s="34"/>
      <c r="I22" s="215"/>
      <c r="J22" s="1343"/>
    </row>
    <row r="23" spans="1:10" ht="12.95" customHeight="1" x14ac:dyDescent="0.2">
      <c r="A23" s="103" t="s">
        <v>23</v>
      </c>
      <c r="B23" s="119" t="s">
        <v>145</v>
      </c>
      <c r="C23" s="34"/>
      <c r="D23" s="34"/>
      <c r="E23" s="34"/>
      <c r="F23" s="22"/>
      <c r="G23" s="34"/>
      <c r="H23" s="34"/>
      <c r="I23" s="215"/>
      <c r="J23" s="1343"/>
    </row>
    <row r="24" spans="1:10" ht="12.95" customHeight="1" thickBot="1" x14ac:dyDescent="0.25">
      <c r="A24" s="105" t="s">
        <v>24</v>
      </c>
      <c r="B24" s="120" t="s">
        <v>146</v>
      </c>
      <c r="C24" s="34"/>
      <c r="D24" s="34"/>
      <c r="E24" s="34"/>
      <c r="F24" s="545"/>
      <c r="G24" s="35"/>
      <c r="H24" s="35"/>
      <c r="I24" s="239"/>
      <c r="J24" s="1343"/>
    </row>
    <row r="25" spans="1:10" ht="21.75" customHeight="1" thickBot="1" x14ac:dyDescent="0.25">
      <c r="A25" s="108" t="s">
        <v>25</v>
      </c>
      <c r="B25" s="44" t="s">
        <v>902</v>
      </c>
      <c r="C25" s="99">
        <f>+C13+C19</f>
        <v>828184392</v>
      </c>
      <c r="D25" s="99">
        <f>+D13+D19</f>
        <v>995184392</v>
      </c>
      <c r="E25" s="99">
        <f>+E13+E19</f>
        <v>821124644</v>
      </c>
      <c r="F25" s="44" t="s">
        <v>905</v>
      </c>
      <c r="G25" s="99">
        <f>SUM(G13:G24)</f>
        <v>24993747</v>
      </c>
      <c r="H25" s="99">
        <f>SUM(H13:H24)</f>
        <v>24993747</v>
      </c>
      <c r="I25" s="124">
        <f>SUM(I13:I24)</f>
        <v>24993747</v>
      </c>
      <c r="J25" s="1343"/>
    </row>
    <row r="26" spans="1:10" ht="13.5" thickBot="1" x14ac:dyDescent="0.25">
      <c r="A26" s="108" t="s">
        <v>26</v>
      </c>
      <c r="B26" s="112" t="s">
        <v>903</v>
      </c>
      <c r="C26" s="242">
        <f>+C12+C25</f>
        <v>1080592746</v>
      </c>
      <c r="D26" s="242">
        <f>+D12+D25</f>
        <v>3128137813</v>
      </c>
      <c r="E26" s="243">
        <f>+E12+E25</f>
        <v>2902696896</v>
      </c>
      <c r="F26" s="112" t="s">
        <v>904</v>
      </c>
      <c r="G26" s="242">
        <f>+G12+G25</f>
        <v>1096184276</v>
      </c>
      <c r="H26" s="242">
        <f>+H12+H25</f>
        <v>3010093291</v>
      </c>
      <c r="I26" s="243">
        <f>+I12+I25</f>
        <v>595056800</v>
      </c>
      <c r="J26" s="1343"/>
    </row>
    <row r="27" spans="1:10" ht="13.5" thickBot="1" x14ac:dyDescent="0.25">
      <c r="A27" s="108" t="s">
        <v>27</v>
      </c>
      <c r="B27" s="112" t="s">
        <v>95</v>
      </c>
      <c r="C27" s="242">
        <f>IF(C12-G12&lt;0,G12-C12,"-")</f>
        <v>818782175</v>
      </c>
      <c r="D27" s="242">
        <f>IF(D12-H12&lt;0,H12-D12,"-")</f>
        <v>852146123</v>
      </c>
      <c r="E27" s="243" t="str">
        <f>IF(E12-I12&lt;0,I12-E12,"-")</f>
        <v>-</v>
      </c>
      <c r="F27" s="112" t="s">
        <v>96</v>
      </c>
      <c r="G27" s="242" t="str">
        <f>IF(C12-G12&gt;0,C12-G12,"-")</f>
        <v>-</v>
      </c>
      <c r="H27" s="242" t="str">
        <f>IF(D12-H12&gt;0,D12-H12,"-")</f>
        <v>-</v>
      </c>
      <c r="I27" s="243">
        <f>IF(E12-I12&gt;0,E12-I12,"-")</f>
        <v>1511509199</v>
      </c>
      <c r="J27" s="1343"/>
    </row>
    <row r="28" spans="1:10" ht="13.5" thickBot="1" x14ac:dyDescent="0.25">
      <c r="A28" s="108" t="s">
        <v>28</v>
      </c>
      <c r="B28" s="112" t="s">
        <v>440</v>
      </c>
      <c r="C28" s="242">
        <f>IF(C26-G26&lt;0,G26-C26,"-")</f>
        <v>15591530</v>
      </c>
      <c r="D28" s="242" t="str">
        <f>IF(D26-H26&lt;0,H26-D26,"-")</f>
        <v>-</v>
      </c>
      <c r="E28" s="242" t="str">
        <f>IF(E26-I26&lt;0,I26-E26,"-")</f>
        <v>-</v>
      </c>
      <c r="F28" s="112" t="s">
        <v>441</v>
      </c>
      <c r="G28" s="242" t="str">
        <f>IF(C26-G26&gt;0,C26-G26,"-")</f>
        <v>-</v>
      </c>
      <c r="H28" s="242">
        <f>IF(D26-H26&gt;0,D26-H26,"-")</f>
        <v>118044522</v>
      </c>
      <c r="I28" s="242">
        <f>IF(E26-I26&gt;0,E26-I26,"-")</f>
        <v>2307640096</v>
      </c>
      <c r="J28" s="1343"/>
    </row>
  </sheetData>
  <sheetProtection formatCells="0"/>
  <mergeCells count="3">
    <mergeCell ref="A3:A4"/>
    <mergeCell ref="J1:J28"/>
    <mergeCell ref="B1:I1"/>
  </mergeCells>
  <phoneticPr fontId="0" type="noConversion"/>
  <printOptions horizontalCentered="1"/>
  <pageMargins left="0.78740157480314965" right="0.78740157480314965" top="0.47244094488188981" bottom="0.78740157480314965" header="0.47244094488188981" footer="0.78740157480314965"/>
  <pageSetup paperSize="9" scale="70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pageSetUpPr fitToPage="1"/>
  </sheetPr>
  <dimension ref="A1:E38"/>
  <sheetViews>
    <sheetView topLeftCell="A4" zoomScale="120" zoomScaleNormal="120" workbookViewId="0">
      <selection activeCell="G11" sqref="G11"/>
    </sheetView>
  </sheetViews>
  <sheetFormatPr defaultRowHeight="12.75" x14ac:dyDescent="0.2"/>
  <cols>
    <col min="1" max="1" width="46.33203125" customWidth="1"/>
    <col min="2" max="2" width="13.83203125" customWidth="1"/>
    <col min="3" max="3" width="66.1640625" customWidth="1"/>
    <col min="4" max="5" width="13.83203125" customWidth="1"/>
  </cols>
  <sheetData>
    <row r="1" spans="1:5" ht="18.75" x14ac:dyDescent="0.3">
      <c r="A1" s="220" t="s">
        <v>464</v>
      </c>
      <c r="B1" s="63"/>
      <c r="C1" s="63"/>
      <c r="D1" s="63"/>
      <c r="E1" s="221" t="s">
        <v>90</v>
      </c>
    </row>
    <row r="2" spans="1:5" x14ac:dyDescent="0.2">
      <c r="A2" s="63"/>
      <c r="B2" s="63"/>
      <c r="C2" s="63"/>
      <c r="D2" s="63"/>
      <c r="E2" s="63"/>
    </row>
    <row r="3" spans="1:5" x14ac:dyDescent="0.2">
      <c r="A3" s="222"/>
      <c r="B3" s="223"/>
      <c r="C3" s="222"/>
      <c r="D3" s="224"/>
      <c r="E3" s="223"/>
    </row>
    <row r="4" spans="1:5" ht="15.75" x14ac:dyDescent="0.25">
      <c r="A4" s="65" t="str">
        <f>+Z_ÖSSZEFÜGGÉSEK!A6</f>
        <v>2021. évi eredeti előirányzat BEVÉTELEK</v>
      </c>
      <c r="B4" s="225"/>
      <c r="C4" s="226"/>
      <c r="D4" s="224"/>
      <c r="E4" s="223"/>
    </row>
    <row r="5" spans="1:5" x14ac:dyDescent="0.2">
      <c r="A5" s="222"/>
      <c r="B5" s="223"/>
      <c r="C5" s="222"/>
      <c r="D5" s="224"/>
      <c r="E5" s="223"/>
    </row>
    <row r="6" spans="1:5" x14ac:dyDescent="0.2">
      <c r="A6" s="222" t="s">
        <v>415</v>
      </c>
      <c r="B6" s="223">
        <f>+Z_1.1.sz.mell.!C69</f>
        <v>2958996769</v>
      </c>
      <c r="C6" s="222" t="s">
        <v>391</v>
      </c>
      <c r="D6" s="224">
        <f>+Z_2.sz.mell!C13+Z_3.sz.mell!C12</f>
        <v>2958996769</v>
      </c>
      <c r="E6" s="223">
        <f>+B6-D6</f>
        <v>0</v>
      </c>
    </row>
    <row r="7" spans="1:5" x14ac:dyDescent="0.2">
      <c r="A7" s="222" t="s">
        <v>431</v>
      </c>
      <c r="B7" s="223">
        <f>+Z_1.1.sz.mell.!C93</f>
        <v>1774011918</v>
      </c>
      <c r="C7" s="222" t="s">
        <v>397</v>
      </c>
      <c r="D7" s="224">
        <f>+Z_2.sz.mell!C25+Z_3.sz.mell!C25</f>
        <v>1774011918</v>
      </c>
      <c r="E7" s="223">
        <f>+B7-D7</f>
        <v>0</v>
      </c>
    </row>
    <row r="8" spans="1:5" x14ac:dyDescent="0.2">
      <c r="A8" s="222" t="s">
        <v>432</v>
      </c>
      <c r="B8" s="223">
        <f>+Z_1.1.sz.mell.!C94</f>
        <v>4733008687</v>
      </c>
      <c r="C8" s="222" t="s">
        <v>398</v>
      </c>
      <c r="D8" s="224">
        <f>+Z_2.sz.mell!C26+Z_3.sz.mell!C26</f>
        <v>4733008687</v>
      </c>
      <c r="E8" s="223">
        <f>+B8-D8</f>
        <v>0</v>
      </c>
    </row>
    <row r="9" spans="1:5" x14ac:dyDescent="0.2">
      <c r="A9" s="222"/>
      <c r="B9" s="223"/>
      <c r="C9" s="222"/>
      <c r="D9" s="224"/>
      <c r="E9" s="223"/>
    </row>
    <row r="10" spans="1:5" ht="15.75" x14ac:dyDescent="0.25">
      <c r="A10" s="65" t="str">
        <f>+Z_ÖSSZEFÜGGÉSEK!A13</f>
        <v>2021. évi módosított előirányzat BEVÉTELEK</v>
      </c>
      <c r="B10" s="225"/>
      <c r="C10" s="226"/>
      <c r="D10" s="224"/>
      <c r="E10" s="223"/>
    </row>
    <row r="11" spans="1:5" x14ac:dyDescent="0.2">
      <c r="A11" s="222"/>
      <c r="B11" s="223"/>
      <c r="C11" s="222"/>
      <c r="D11" s="224"/>
      <c r="E11" s="223"/>
    </row>
    <row r="12" spans="1:5" x14ac:dyDescent="0.2">
      <c r="A12" s="222" t="s">
        <v>416</v>
      </c>
      <c r="B12" s="223">
        <f>+Z_1.1.sz.mell.!D69</f>
        <v>4957119537</v>
      </c>
      <c r="C12" s="222" t="s">
        <v>392</v>
      </c>
      <c r="D12" s="224">
        <f>+Z_2.sz.mell!D13+Z_3.sz.mell!D12</f>
        <v>4957119537</v>
      </c>
      <c r="E12" s="223">
        <f>+B12-D12</f>
        <v>0</v>
      </c>
    </row>
    <row r="13" spans="1:5" x14ac:dyDescent="0.2">
      <c r="A13" s="222" t="s">
        <v>417</v>
      </c>
      <c r="B13" s="223">
        <f>+Z_1.1.sz.mell.!D93</f>
        <v>2094509705</v>
      </c>
      <c r="C13" s="222" t="s">
        <v>399</v>
      </c>
      <c r="D13" s="224">
        <f>+Z_2.sz.mell!D25+Z_3.sz.mell!D25</f>
        <v>2094509705</v>
      </c>
      <c r="E13" s="223">
        <f>+B13-D13</f>
        <v>0</v>
      </c>
    </row>
    <row r="14" spans="1:5" x14ac:dyDescent="0.2">
      <c r="A14" s="222" t="s">
        <v>418</v>
      </c>
      <c r="B14" s="223">
        <f>+Z_1.1.sz.mell.!D94</f>
        <v>7051629242</v>
      </c>
      <c r="C14" s="222" t="s">
        <v>400</v>
      </c>
      <c r="D14" s="224">
        <f>+Z_2.sz.mell!D26+Z_3.sz.mell!D26</f>
        <v>7051629242</v>
      </c>
      <c r="E14" s="223">
        <f>+B14-D14</f>
        <v>0</v>
      </c>
    </row>
    <row r="15" spans="1:5" x14ac:dyDescent="0.2">
      <c r="A15" s="222"/>
      <c r="B15" s="223"/>
      <c r="C15" s="222"/>
      <c r="D15" s="224"/>
      <c r="E15" s="223"/>
    </row>
    <row r="16" spans="1:5" ht="14.25" x14ac:dyDescent="0.2">
      <c r="A16" s="227" t="str">
        <f>+Z_ÖSSZEFÜGGÉSEK!A19</f>
        <v>2021.évi teljesített BEVÉTELEK</v>
      </c>
      <c r="B16" s="64"/>
      <c r="C16" s="226"/>
      <c r="D16" s="224"/>
      <c r="E16" s="223"/>
    </row>
    <row r="17" spans="1:5" x14ac:dyDescent="0.2">
      <c r="A17" s="222"/>
      <c r="B17" s="223"/>
      <c r="C17" s="222"/>
      <c r="D17" s="224"/>
      <c r="E17" s="223"/>
    </row>
    <row r="18" spans="1:5" x14ac:dyDescent="0.2">
      <c r="A18" s="222" t="s">
        <v>419</v>
      </c>
      <c r="B18" s="223">
        <f>+Z_1.1.sz.mell.!E69</f>
        <v>4653633946</v>
      </c>
      <c r="C18" s="222" t="s">
        <v>393</v>
      </c>
      <c r="D18" s="224">
        <f>+Z_2.sz.mell!E13+Z_3.sz.mell!E12</f>
        <v>4653633946</v>
      </c>
      <c r="E18" s="223">
        <f>+B18-D18</f>
        <v>0</v>
      </c>
    </row>
    <row r="19" spans="1:5" x14ac:dyDescent="0.2">
      <c r="A19" s="222" t="s">
        <v>420</v>
      </c>
      <c r="B19" s="223">
        <f>+Z_1.1.sz.mell.!E93</f>
        <v>1926559314</v>
      </c>
      <c r="C19" s="222" t="s">
        <v>401</v>
      </c>
      <c r="D19" s="224">
        <f>+Z_2.sz.mell!E25+Z_3.sz.mell!E25</f>
        <v>1926559314</v>
      </c>
      <c r="E19" s="223">
        <f>+B19-D19</f>
        <v>0</v>
      </c>
    </row>
    <row r="20" spans="1:5" x14ac:dyDescent="0.2">
      <c r="A20" s="222" t="s">
        <v>421</v>
      </c>
      <c r="B20" s="223">
        <f>+Z_1.1.sz.mell.!E94</f>
        <v>6580193260</v>
      </c>
      <c r="C20" s="222" t="s">
        <v>402</v>
      </c>
      <c r="D20" s="224">
        <f>+Z_2.sz.mell!E26+Z_3.sz.mell!E26</f>
        <v>6580193260</v>
      </c>
      <c r="E20" s="223">
        <f>+B20-D20</f>
        <v>0</v>
      </c>
    </row>
    <row r="21" spans="1:5" x14ac:dyDescent="0.2">
      <c r="A21" s="222"/>
      <c r="B21" s="223"/>
      <c r="C21" s="222"/>
      <c r="D21" s="224"/>
      <c r="E21" s="223"/>
    </row>
    <row r="22" spans="1:5" ht="15.75" x14ac:dyDescent="0.25">
      <c r="A22" s="65" t="str">
        <f>+Z_ÖSSZEFÜGGÉSEK!A25</f>
        <v>2021. évi eredeti előirányzat KIADÁSOK</v>
      </c>
      <c r="B22" s="225"/>
      <c r="C22" s="226"/>
      <c r="D22" s="224"/>
      <c r="E22" s="223"/>
    </row>
    <row r="23" spans="1:5" x14ac:dyDescent="0.2">
      <c r="A23" s="222"/>
      <c r="B23" s="223"/>
      <c r="C23" s="222"/>
      <c r="D23" s="224"/>
      <c r="E23" s="223"/>
    </row>
    <row r="24" spans="1:5" x14ac:dyDescent="0.2">
      <c r="A24" s="222" t="s">
        <v>433</v>
      </c>
      <c r="B24" s="223">
        <f>+Z_1.1.sz.mell.!C135</f>
        <v>3809048190</v>
      </c>
      <c r="C24" s="222" t="s">
        <v>394</v>
      </c>
      <c r="D24" s="224">
        <f>+Z_2.sz.mell!G13+Z_3.sz.mell!G12</f>
        <v>3809048190</v>
      </c>
      <c r="E24" s="223">
        <f>+B24-D24</f>
        <v>0</v>
      </c>
    </row>
    <row r="25" spans="1:5" x14ac:dyDescent="0.2">
      <c r="A25" s="222" t="s">
        <v>423</v>
      </c>
      <c r="B25" s="223">
        <f>+Z_1.1.sz.mell.!C160</f>
        <v>923960497</v>
      </c>
      <c r="C25" s="222" t="s">
        <v>403</v>
      </c>
      <c r="D25" s="224">
        <f>+Z_2.sz.mell!G25+Z_3.sz.mell!G25</f>
        <v>923960497</v>
      </c>
      <c r="E25" s="223">
        <f>+B25-D25</f>
        <v>0</v>
      </c>
    </row>
    <row r="26" spans="1:5" x14ac:dyDescent="0.2">
      <c r="A26" s="222" t="s">
        <v>424</v>
      </c>
      <c r="B26" s="223">
        <f>+Z_1.1.sz.mell.!C161</f>
        <v>4733008687</v>
      </c>
      <c r="C26" s="222" t="s">
        <v>404</v>
      </c>
      <c r="D26" s="224">
        <f>+Z_2.sz.mell!G26+Z_3.sz.mell!G26</f>
        <v>4733008687</v>
      </c>
      <c r="E26" s="223">
        <f>+B26-D26</f>
        <v>0</v>
      </c>
    </row>
    <row r="27" spans="1:5" x14ac:dyDescent="0.2">
      <c r="A27" s="222"/>
      <c r="B27" s="223"/>
      <c r="C27" s="222"/>
      <c r="D27" s="224"/>
      <c r="E27" s="223"/>
    </row>
    <row r="28" spans="1:5" ht="15.75" x14ac:dyDescent="0.25">
      <c r="A28" s="65" t="str">
        <f>+Z_ÖSSZEFÜGGÉSEK!A31</f>
        <v>2021. évi módosított előirányzat KIADÁSOK</v>
      </c>
      <c r="B28" s="225"/>
      <c r="C28" s="226"/>
      <c r="D28" s="224"/>
      <c r="E28" s="223"/>
    </row>
    <row r="29" spans="1:5" x14ac:dyDescent="0.2">
      <c r="A29" s="222"/>
      <c r="B29" s="223"/>
      <c r="C29" s="222"/>
      <c r="D29" s="224"/>
      <c r="E29" s="223"/>
    </row>
    <row r="30" spans="1:5" x14ac:dyDescent="0.2">
      <c r="A30" s="222" t="s">
        <v>425</v>
      </c>
      <c r="B30" s="223">
        <f>+Z_1.1.sz.mell.!D135</f>
        <v>5974170958</v>
      </c>
      <c r="C30" s="222" t="s">
        <v>395</v>
      </c>
      <c r="D30" s="224">
        <f>+Z_2.sz.mell!H13+Z_3.sz.mell!H12</f>
        <v>5974170958</v>
      </c>
      <c r="E30" s="223">
        <f>+B30-D30</f>
        <v>0</v>
      </c>
    </row>
    <row r="31" spans="1:5" x14ac:dyDescent="0.2">
      <c r="A31" s="222" t="s">
        <v>426</v>
      </c>
      <c r="B31" s="223">
        <f>+Z_1.1.sz.mell.!D160</f>
        <v>1077458284</v>
      </c>
      <c r="C31" s="222" t="s">
        <v>405</v>
      </c>
      <c r="D31" s="224">
        <f>+Z_2.sz.mell!H25+Z_3.sz.mell!H25</f>
        <v>1077458284</v>
      </c>
      <c r="E31" s="223">
        <f>+B31-D31</f>
        <v>0</v>
      </c>
    </row>
    <row r="32" spans="1:5" x14ac:dyDescent="0.2">
      <c r="A32" s="222" t="s">
        <v>427</v>
      </c>
      <c r="B32" s="223">
        <f>+Z_1.1.sz.mell.!D161</f>
        <v>7051629242</v>
      </c>
      <c r="C32" s="222" t="s">
        <v>406</v>
      </c>
      <c r="D32" s="224">
        <f>+Z_2.sz.mell!H26+Z_3.sz.mell!H26</f>
        <v>7051629242</v>
      </c>
      <c r="E32" s="223">
        <f>+B32-D32</f>
        <v>0</v>
      </c>
    </row>
    <row r="33" spans="1:5" x14ac:dyDescent="0.2">
      <c r="A33" s="222"/>
      <c r="B33" s="223"/>
      <c r="C33" s="222"/>
      <c r="D33" s="224"/>
      <c r="E33" s="223"/>
    </row>
    <row r="34" spans="1:5" ht="15.75" x14ac:dyDescent="0.25">
      <c r="A34" s="228" t="str">
        <f>+Z_ÖSSZEFÜGGÉSEK!A37</f>
        <v>2021.évi teljesített KIADÁSOK</v>
      </c>
      <c r="B34" s="225"/>
      <c r="C34" s="226"/>
      <c r="D34" s="224"/>
      <c r="E34" s="223"/>
    </row>
    <row r="35" spans="1:5" x14ac:dyDescent="0.2">
      <c r="A35" s="222"/>
      <c r="B35" s="223"/>
      <c r="C35" s="222"/>
      <c r="D35" s="224"/>
      <c r="E35" s="223"/>
    </row>
    <row r="36" spans="1:5" x14ac:dyDescent="0.2">
      <c r="A36" s="222" t="s">
        <v>428</v>
      </c>
      <c r="B36" s="223">
        <f>+Z_1.1.sz.mell.!E135</f>
        <v>3061578141</v>
      </c>
      <c r="C36" s="222" t="s">
        <v>396</v>
      </c>
      <c r="D36" s="224">
        <f>+Z_2.sz.mell!I13+Z_3.sz.mell!I12</f>
        <v>3061578141</v>
      </c>
      <c r="E36" s="223">
        <f>+B36-D36</f>
        <v>0</v>
      </c>
    </row>
    <row r="37" spans="1:5" x14ac:dyDescent="0.2">
      <c r="A37" s="222" t="s">
        <v>429</v>
      </c>
      <c r="B37" s="223">
        <f>+Z_1.1.sz.mell.!E160</f>
        <v>1077458284</v>
      </c>
      <c r="C37" s="222" t="s">
        <v>407</v>
      </c>
      <c r="D37" s="224">
        <f>+Z_2.sz.mell!I25+Z_3.sz.mell!I25</f>
        <v>1077458284</v>
      </c>
      <c r="E37" s="223">
        <f>+B37-D37</f>
        <v>0</v>
      </c>
    </row>
    <row r="38" spans="1:5" x14ac:dyDescent="0.2">
      <c r="A38" s="222" t="s">
        <v>434</v>
      </c>
      <c r="B38" s="223">
        <f>+Z_1.1.sz.mell.!E161</f>
        <v>4139036425</v>
      </c>
      <c r="C38" s="222" t="s">
        <v>408</v>
      </c>
      <c r="D38" s="224">
        <f>+Z_2.sz.mell!I26+Z_3.sz.mell!I26</f>
        <v>4139036425</v>
      </c>
      <c r="E38" s="223">
        <f>+B38-D38</f>
        <v>0</v>
      </c>
    </row>
  </sheetData>
  <phoneticPr fontId="35" type="noConversion"/>
  <conditionalFormatting sqref="E3:E15">
    <cfRule type="cellIs" dxfId="1" priority="2" stopIfTrue="1" operator="notEqual">
      <formula>0</formula>
    </cfRule>
  </conditionalFormatting>
  <conditionalFormatting sqref="E3:E38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1:J64"/>
  <sheetViews>
    <sheetView zoomScaleNormal="100" zoomScaleSheetLayoutView="100" workbookViewId="0">
      <selection activeCell="D17" sqref="D17"/>
    </sheetView>
  </sheetViews>
  <sheetFormatPr defaultRowHeight="12.75" x14ac:dyDescent="0.2"/>
  <cols>
    <col min="1" max="1" width="47.1640625" style="20" customWidth="1"/>
    <col min="2" max="2" width="15.6640625" style="19" customWidth="1"/>
    <col min="3" max="3" width="16.33203125" style="19" customWidth="1"/>
    <col min="4" max="4" width="18" style="19" customWidth="1"/>
    <col min="5" max="5" width="18" style="551" customWidth="1"/>
    <col min="6" max="6" width="18" style="19" customWidth="1"/>
    <col min="7" max="7" width="16.6640625" style="19" customWidth="1"/>
    <col min="8" max="8" width="16.6640625" style="551" customWidth="1"/>
    <col min="9" max="9" width="18.83203125" style="25" customWidth="1"/>
    <col min="10" max="11" width="12.83203125" style="19" customWidth="1"/>
    <col min="12" max="12" width="13.83203125" style="19" customWidth="1"/>
    <col min="13" max="16384" width="9.33203125" style="19"/>
  </cols>
  <sheetData>
    <row r="1" spans="1:9" ht="15" x14ac:dyDescent="0.2">
      <c r="A1" s="273"/>
      <c r="B1" s="1345" t="str">
        <f>CONCATENATE("4. melléklet ",Z_ALAPADATOK!A7," ",Z_ALAPADATOK!B7," ",Z_ALAPADATOK!C7," ",Z_ALAPADATOK!D7," ",Z_ALAPADATOK!E7," ",Z_ALAPADATOK!F7," ",Z_ALAPADATOK!G7," ",Z_ALAPADATOK!H7)</f>
        <v>4. melléklet a 12 / 2022. ( V.30. ) önkormányzati rendelethez</v>
      </c>
      <c r="C1" s="1346"/>
      <c r="D1" s="1346"/>
      <c r="E1" s="1346"/>
      <c r="F1" s="1346"/>
      <c r="G1" s="1346"/>
      <c r="H1" s="1346"/>
      <c r="I1" s="1346"/>
    </row>
    <row r="2" spans="1:9" x14ac:dyDescent="0.2">
      <c r="A2" s="273"/>
      <c r="B2" s="274"/>
      <c r="C2" s="274"/>
      <c r="D2" s="274"/>
      <c r="E2" s="550"/>
      <c r="F2" s="274"/>
      <c r="G2" s="274"/>
      <c r="H2" s="550"/>
      <c r="I2" s="274"/>
    </row>
    <row r="3" spans="1:9" ht="25.5" customHeight="1" x14ac:dyDescent="0.2">
      <c r="A3" s="1344" t="s">
        <v>465</v>
      </c>
      <c r="B3" s="1344"/>
      <c r="C3" s="1344"/>
      <c r="D3" s="1344"/>
      <c r="E3" s="1344"/>
      <c r="F3" s="1344"/>
      <c r="G3" s="1344"/>
      <c r="H3" s="1344"/>
      <c r="I3" s="1344"/>
    </row>
    <row r="4" spans="1:9" ht="22.5" customHeight="1" thickBot="1" x14ac:dyDescent="0.3">
      <c r="A4" s="273"/>
      <c r="B4" s="274"/>
      <c r="C4" s="274"/>
      <c r="D4" s="274"/>
      <c r="E4" s="550"/>
      <c r="F4" s="274"/>
      <c r="G4" s="274"/>
      <c r="H4" s="550"/>
      <c r="I4" s="275" t="str">
        <f>Z_3.sz.mell!I2</f>
        <v xml:space="preserve"> Forintban!</v>
      </c>
    </row>
    <row r="5" spans="1:9" s="21" customFormat="1" ht="44.45" customHeight="1" thickBot="1" x14ac:dyDescent="0.25">
      <c r="A5" s="276" t="s">
        <v>47</v>
      </c>
      <c r="B5" s="249" t="s">
        <v>48</v>
      </c>
      <c r="C5" s="249" t="s">
        <v>49</v>
      </c>
      <c r="D5" s="249" t="str">
        <f>+CONCATENATE("Felhasználás   ",LEFT(Z_ÖSSZEFÜGGÉSEK!A6,4)-1,". XII. 31-ig")</f>
        <v>Felhasználás   2020. XII. 31-ig</v>
      </c>
      <c r="E5" s="249" t="s">
        <v>943</v>
      </c>
      <c r="F5" s="249" t="str">
        <f>+CONCATENATE(LEFT(Z_ÖSSZEFÜGGÉSEK!A6,4),". évi",CHAR(10),"módosított előirányzat")</f>
        <v>2021. évi
módosított előirányzat</v>
      </c>
      <c r="G5" s="249" t="str">
        <f>+CONCATENATE("Teljesítés",CHAR(10),LEFT(Z_ÖSSZEFÜGGÉSEK!A6,4),". I. 1-től XII.31-ig")</f>
        <v>Teljesítés
2021. I. 1-től XII.31-ig</v>
      </c>
      <c r="H5" s="458" t="s">
        <v>911</v>
      </c>
      <c r="I5" s="250" t="str">
        <f>+CONCATENATE("Összes teljesítés",CHAR(10),LEFT(Z_ÖSSZEFÜGGÉSEK!A6,4),". XII. 31-ig")</f>
        <v>Összes teljesítés
2021. XII. 31-ig</v>
      </c>
    </row>
    <row r="6" spans="1:9" s="25" customFormat="1" ht="12" customHeight="1" thickBot="1" x14ac:dyDescent="0.25">
      <c r="A6" s="552" t="s">
        <v>354</v>
      </c>
      <c r="B6" s="553" t="s">
        <v>355</v>
      </c>
      <c r="C6" s="553" t="s">
        <v>356</v>
      </c>
      <c r="D6" s="553" t="s">
        <v>358</v>
      </c>
      <c r="E6" s="553" t="s">
        <v>357</v>
      </c>
      <c r="F6" s="553" t="s">
        <v>359</v>
      </c>
      <c r="G6" s="553" t="s">
        <v>360</v>
      </c>
      <c r="H6" s="1192" t="s">
        <v>361</v>
      </c>
      <c r="I6" s="554" t="s">
        <v>826</v>
      </c>
    </row>
    <row r="7" spans="1:9" s="549" customFormat="1" ht="12" customHeight="1" thickBot="1" x14ac:dyDescent="0.25">
      <c r="A7" s="1195" t="s">
        <v>825</v>
      </c>
      <c r="B7" s="552">
        <f>SUM(B8:B36)</f>
        <v>992034385</v>
      </c>
      <c r="C7" s="553"/>
      <c r="D7" s="553">
        <f t="shared" ref="D7:I7" si="0">SUM(D8:D36)</f>
        <v>68659507</v>
      </c>
      <c r="E7" s="553">
        <f t="shared" si="0"/>
        <v>48414661</v>
      </c>
      <c r="F7" s="553">
        <f t="shared" si="0"/>
        <v>874960217</v>
      </c>
      <c r="G7" s="553">
        <f t="shared" si="0"/>
        <v>196713750</v>
      </c>
      <c r="H7" s="553">
        <f t="shared" si="0"/>
        <v>0</v>
      </c>
      <c r="I7" s="554">
        <f t="shared" si="0"/>
        <v>265373257</v>
      </c>
    </row>
    <row r="8" spans="1:9" s="547" customFormat="1" x14ac:dyDescent="0.2">
      <c r="A8" s="1176" t="s">
        <v>801</v>
      </c>
      <c r="B8" s="1177">
        <v>2869994</v>
      </c>
      <c r="C8" s="1178">
        <v>2021</v>
      </c>
      <c r="D8" s="1179"/>
      <c r="E8" s="1179"/>
      <c r="F8" s="794">
        <v>2869994</v>
      </c>
      <c r="G8" s="794"/>
      <c r="H8" s="1193"/>
      <c r="I8" s="1194">
        <f>D8+G8+H8</f>
        <v>0</v>
      </c>
    </row>
    <row r="9" spans="1:9" s="547" customFormat="1" x14ac:dyDescent="0.2">
      <c r="A9" s="1176" t="s">
        <v>776</v>
      </c>
      <c r="B9" s="1177">
        <v>142353686</v>
      </c>
      <c r="C9" s="1178" t="s">
        <v>926</v>
      </c>
      <c r="D9" s="1179">
        <v>13381600</v>
      </c>
      <c r="E9" s="1179">
        <v>16601097</v>
      </c>
      <c r="F9" s="757">
        <v>112370989</v>
      </c>
      <c r="G9" s="757">
        <v>41610877</v>
      </c>
      <c r="H9" s="698"/>
      <c r="I9" s="701">
        <f>D9+G9+H9</f>
        <v>54992477</v>
      </c>
    </row>
    <row r="10" spans="1:9" s="547" customFormat="1" ht="25.5" x14ac:dyDescent="0.2">
      <c r="A10" s="1176" t="s">
        <v>802</v>
      </c>
      <c r="B10" s="1177">
        <v>9740900</v>
      </c>
      <c r="C10" s="1178" t="s">
        <v>912</v>
      </c>
      <c r="D10" s="1179">
        <v>5715000</v>
      </c>
      <c r="E10" s="1179"/>
      <c r="F10" s="757">
        <v>4025900</v>
      </c>
      <c r="G10" s="757">
        <v>2959100</v>
      </c>
      <c r="H10" s="698"/>
      <c r="I10" s="701">
        <f t="shared" ref="I10:I52" si="1">D10+G10+H10</f>
        <v>8674100</v>
      </c>
    </row>
    <row r="11" spans="1:9" s="547" customFormat="1" x14ac:dyDescent="0.2">
      <c r="A11" s="1180" t="s">
        <v>804</v>
      </c>
      <c r="B11" s="1181">
        <v>17562217</v>
      </c>
      <c r="C11" s="1182" t="s">
        <v>912</v>
      </c>
      <c r="D11" s="1183">
        <v>17312217</v>
      </c>
      <c r="E11" s="1183"/>
      <c r="F11" s="757">
        <v>250000</v>
      </c>
      <c r="G11" s="757"/>
      <c r="H11" s="698"/>
      <c r="I11" s="701">
        <f t="shared" si="1"/>
        <v>17312217</v>
      </c>
    </row>
    <row r="12" spans="1:9" s="547" customFormat="1" ht="25.5" x14ac:dyDescent="0.2">
      <c r="A12" s="1184" t="s">
        <v>805</v>
      </c>
      <c r="B12" s="1181">
        <v>15969872</v>
      </c>
      <c r="C12" s="1182" t="s">
        <v>819</v>
      </c>
      <c r="D12" s="1183">
        <v>15874872</v>
      </c>
      <c r="E12" s="1183"/>
      <c r="F12" s="757">
        <v>95000</v>
      </c>
      <c r="G12" s="757">
        <v>95000</v>
      </c>
      <c r="H12" s="698"/>
      <c r="I12" s="701">
        <f t="shared" si="1"/>
        <v>15969872</v>
      </c>
    </row>
    <row r="13" spans="1:9" s="547" customFormat="1" x14ac:dyDescent="0.2">
      <c r="A13" s="1184" t="s">
        <v>806</v>
      </c>
      <c r="B13" s="1181">
        <v>359410</v>
      </c>
      <c r="C13" s="1182">
        <v>2021</v>
      </c>
      <c r="D13" s="1183"/>
      <c r="E13" s="1183"/>
      <c r="F13" s="757">
        <v>359410</v>
      </c>
      <c r="G13" s="757"/>
      <c r="H13" s="698"/>
      <c r="I13" s="701">
        <f t="shared" si="1"/>
        <v>0</v>
      </c>
    </row>
    <row r="14" spans="1:9" s="547" customFormat="1" x14ac:dyDescent="0.2">
      <c r="A14" s="1184" t="s">
        <v>807</v>
      </c>
      <c r="B14" s="1181">
        <v>381000</v>
      </c>
      <c r="C14" s="1182">
        <v>2021</v>
      </c>
      <c r="D14" s="1183"/>
      <c r="E14" s="1183"/>
      <c r="F14" s="757">
        <v>381000</v>
      </c>
      <c r="G14" s="757">
        <v>199390</v>
      </c>
      <c r="H14" s="698"/>
      <c r="I14" s="701">
        <f t="shared" si="1"/>
        <v>199390</v>
      </c>
    </row>
    <row r="15" spans="1:9" s="547" customFormat="1" x14ac:dyDescent="0.2">
      <c r="A15" s="1184" t="s">
        <v>808</v>
      </c>
      <c r="B15" s="1181">
        <v>3540000</v>
      </c>
      <c r="C15" s="1182">
        <v>2021</v>
      </c>
      <c r="D15" s="1183"/>
      <c r="E15" s="1183"/>
      <c r="F15" s="757">
        <v>3540000</v>
      </c>
      <c r="G15" s="757">
        <f>1380000+1245677</f>
        <v>2625677</v>
      </c>
      <c r="H15" s="698"/>
      <c r="I15" s="701">
        <f t="shared" si="1"/>
        <v>2625677</v>
      </c>
    </row>
    <row r="16" spans="1:9" s="547" customFormat="1" x14ac:dyDescent="0.2">
      <c r="A16" s="1184" t="s">
        <v>927</v>
      </c>
      <c r="B16" s="1181">
        <v>100000</v>
      </c>
      <c r="C16" s="1182">
        <v>2021</v>
      </c>
      <c r="D16" s="1183"/>
      <c r="E16" s="1183"/>
      <c r="F16" s="757">
        <v>100000</v>
      </c>
      <c r="G16" s="757">
        <v>72870</v>
      </c>
      <c r="H16" s="698"/>
      <c r="I16" s="701">
        <f t="shared" si="1"/>
        <v>72870</v>
      </c>
    </row>
    <row r="17" spans="1:9" s="547" customFormat="1" ht="25.5" x14ac:dyDescent="0.2">
      <c r="A17" s="1185" t="s">
        <v>809</v>
      </c>
      <c r="B17" s="1181">
        <v>166015</v>
      </c>
      <c r="C17" s="1182">
        <v>2021</v>
      </c>
      <c r="D17" s="1183"/>
      <c r="E17" s="1183"/>
      <c r="F17" s="757">
        <v>166015</v>
      </c>
      <c r="G17" s="757">
        <v>63480</v>
      </c>
      <c r="H17" s="698"/>
      <c r="I17" s="701">
        <f t="shared" si="1"/>
        <v>63480</v>
      </c>
    </row>
    <row r="18" spans="1:9" s="547" customFormat="1" ht="25.5" x14ac:dyDescent="0.2">
      <c r="A18" s="1184" t="s">
        <v>810</v>
      </c>
      <c r="B18" s="1181">
        <v>6707008</v>
      </c>
      <c r="C18" s="1182" t="s">
        <v>819</v>
      </c>
      <c r="D18" s="1183">
        <v>5137958</v>
      </c>
      <c r="E18" s="1183"/>
      <c r="F18" s="757">
        <v>1569050</v>
      </c>
      <c r="G18" s="757">
        <v>1568000</v>
      </c>
      <c r="H18" s="698"/>
      <c r="I18" s="701">
        <f t="shared" si="1"/>
        <v>6705958</v>
      </c>
    </row>
    <row r="19" spans="1:9" s="547" customFormat="1" ht="25.5" x14ac:dyDescent="0.2">
      <c r="A19" s="1186" t="s">
        <v>928</v>
      </c>
      <c r="B19" s="1187">
        <v>127000</v>
      </c>
      <c r="C19" s="1188">
        <v>2021</v>
      </c>
      <c r="D19" s="1189"/>
      <c r="E19" s="1189"/>
      <c r="F19" s="757">
        <v>127000</v>
      </c>
      <c r="G19" s="757"/>
      <c r="H19" s="698"/>
      <c r="I19" s="701">
        <f t="shared" si="1"/>
        <v>0</v>
      </c>
    </row>
    <row r="20" spans="1:9" s="547" customFormat="1" ht="38.25" x14ac:dyDescent="0.2">
      <c r="A20" s="1186" t="s">
        <v>929</v>
      </c>
      <c r="B20" s="1187">
        <v>1818440</v>
      </c>
      <c r="C20" s="1188" t="s">
        <v>818</v>
      </c>
      <c r="D20" s="1189">
        <v>455240</v>
      </c>
      <c r="E20" s="1189"/>
      <c r="F20" s="757">
        <v>1363200</v>
      </c>
      <c r="G20" s="757">
        <v>465990</v>
      </c>
      <c r="H20" s="698"/>
      <c r="I20" s="701">
        <f t="shared" si="1"/>
        <v>921230</v>
      </c>
    </row>
    <row r="21" spans="1:9" s="547" customFormat="1" x14ac:dyDescent="0.2">
      <c r="A21" s="1184" t="s">
        <v>811</v>
      </c>
      <c r="B21" s="1181">
        <v>355600</v>
      </c>
      <c r="C21" s="1182">
        <v>2021</v>
      </c>
      <c r="D21" s="1183"/>
      <c r="E21" s="1183"/>
      <c r="F21" s="757">
        <v>355600</v>
      </c>
      <c r="G21" s="757"/>
      <c r="H21" s="698"/>
      <c r="I21" s="701">
        <f t="shared" si="1"/>
        <v>0</v>
      </c>
    </row>
    <row r="22" spans="1:9" s="547" customFormat="1" x14ac:dyDescent="0.2">
      <c r="A22" s="1184" t="s">
        <v>812</v>
      </c>
      <c r="B22" s="1181">
        <v>30000000</v>
      </c>
      <c r="C22" s="1182" t="s">
        <v>912</v>
      </c>
      <c r="D22" s="1183">
        <v>2679620</v>
      </c>
      <c r="E22" s="1183"/>
      <c r="F22" s="757">
        <v>27320380</v>
      </c>
      <c r="G22" s="757">
        <v>26934922</v>
      </c>
      <c r="H22" s="698"/>
      <c r="I22" s="701">
        <f t="shared" si="1"/>
        <v>29614542</v>
      </c>
    </row>
    <row r="23" spans="1:9" s="547" customFormat="1" x14ac:dyDescent="0.2">
      <c r="A23" s="1184" t="s">
        <v>781</v>
      </c>
      <c r="B23" s="1187">
        <v>161222130</v>
      </c>
      <c r="C23" s="1188" t="s">
        <v>912</v>
      </c>
      <c r="D23" s="1189">
        <v>8103000</v>
      </c>
      <c r="E23" s="1189">
        <v>22055853</v>
      </c>
      <c r="F23" s="757">
        <v>131063277</v>
      </c>
      <c r="G23" s="757">
        <v>370000</v>
      </c>
      <c r="H23" s="698"/>
      <c r="I23" s="701">
        <f t="shared" si="1"/>
        <v>8473000</v>
      </c>
    </row>
    <row r="24" spans="1:9" s="547" customFormat="1" ht="25.5" x14ac:dyDescent="0.2">
      <c r="A24" s="1184" t="s">
        <v>930</v>
      </c>
      <c r="B24" s="1181">
        <v>99384000</v>
      </c>
      <c r="C24" s="1182" t="s">
        <v>916</v>
      </c>
      <c r="D24" s="1183"/>
      <c r="E24" s="1183"/>
      <c r="F24" s="757">
        <v>99384000</v>
      </c>
      <c r="G24" s="757">
        <f>89909035+7600</f>
        <v>89916635</v>
      </c>
      <c r="H24" s="698"/>
      <c r="I24" s="701">
        <f t="shared" si="1"/>
        <v>89916635</v>
      </c>
    </row>
    <row r="25" spans="1:9" s="547" customFormat="1" x14ac:dyDescent="0.2">
      <c r="A25" s="1184" t="s">
        <v>813</v>
      </c>
      <c r="B25" s="1181">
        <v>1017270</v>
      </c>
      <c r="C25" s="1182">
        <v>2021</v>
      </c>
      <c r="D25" s="1183"/>
      <c r="E25" s="1183"/>
      <c r="F25" s="757">
        <v>1017270</v>
      </c>
      <c r="G25" s="757">
        <v>960120</v>
      </c>
      <c r="H25" s="698"/>
      <c r="I25" s="701">
        <f t="shared" si="1"/>
        <v>960120</v>
      </c>
    </row>
    <row r="26" spans="1:9" s="547" customFormat="1" x14ac:dyDescent="0.2">
      <c r="A26" s="1186" t="s">
        <v>931</v>
      </c>
      <c r="B26" s="1187">
        <v>254000</v>
      </c>
      <c r="C26" s="1188" t="s">
        <v>909</v>
      </c>
      <c r="D26" s="1189"/>
      <c r="E26" s="1189"/>
      <c r="F26" s="757">
        <v>254000</v>
      </c>
      <c r="G26" s="757">
        <v>228600</v>
      </c>
      <c r="H26" s="698"/>
      <c r="I26" s="701">
        <f t="shared" si="1"/>
        <v>228600</v>
      </c>
    </row>
    <row r="27" spans="1:9" s="547" customFormat="1" ht="25.5" x14ac:dyDescent="0.2">
      <c r="A27" s="1186" t="s">
        <v>814</v>
      </c>
      <c r="B27" s="1187">
        <v>11854940</v>
      </c>
      <c r="C27" s="1188" t="s">
        <v>932</v>
      </c>
      <c r="D27" s="1189"/>
      <c r="E27" s="1189"/>
      <c r="F27" s="757">
        <v>11854940</v>
      </c>
      <c r="G27" s="757">
        <v>11589529</v>
      </c>
      <c r="H27" s="698"/>
      <c r="I27" s="701">
        <f t="shared" si="1"/>
        <v>11589529</v>
      </c>
    </row>
    <row r="28" spans="1:9" s="547" customFormat="1" ht="25.5" x14ac:dyDescent="0.2">
      <c r="A28" s="1186" t="s">
        <v>933</v>
      </c>
      <c r="B28" s="1187">
        <v>9195000</v>
      </c>
      <c r="C28" s="1188" t="s">
        <v>909</v>
      </c>
      <c r="D28" s="1189"/>
      <c r="E28" s="1189"/>
      <c r="F28" s="757">
        <v>9195000</v>
      </c>
      <c r="G28" s="757">
        <v>9195000</v>
      </c>
      <c r="H28" s="698"/>
      <c r="I28" s="701">
        <f t="shared" si="1"/>
        <v>9195000</v>
      </c>
    </row>
    <row r="29" spans="1:9" s="547" customFormat="1" x14ac:dyDescent="0.2">
      <c r="A29" s="1186" t="s">
        <v>934</v>
      </c>
      <c r="B29" s="1187">
        <v>4293870</v>
      </c>
      <c r="C29" s="1188" t="s">
        <v>909</v>
      </c>
      <c r="D29" s="1189"/>
      <c r="E29" s="1189"/>
      <c r="F29" s="757">
        <v>4293870</v>
      </c>
      <c r="G29" s="757">
        <v>4293870</v>
      </c>
      <c r="H29" s="698"/>
      <c r="I29" s="701">
        <f t="shared" si="1"/>
        <v>4293870</v>
      </c>
    </row>
    <row r="30" spans="1:9" s="547" customFormat="1" ht="25.5" x14ac:dyDescent="0.2">
      <c r="A30" s="1186" t="s">
        <v>935</v>
      </c>
      <c r="B30" s="1187">
        <v>50000000</v>
      </c>
      <c r="C30" s="1188" t="s">
        <v>916</v>
      </c>
      <c r="D30" s="1189"/>
      <c r="E30" s="1189">
        <v>9757711</v>
      </c>
      <c r="F30" s="757">
        <v>40242289</v>
      </c>
      <c r="G30" s="757">
        <v>1600000</v>
      </c>
      <c r="H30" s="698"/>
      <c r="I30" s="701">
        <f t="shared" si="1"/>
        <v>1600000</v>
      </c>
    </row>
    <row r="31" spans="1:9" s="547" customFormat="1" ht="25.5" x14ac:dyDescent="0.2">
      <c r="A31" s="1186" t="s">
        <v>936</v>
      </c>
      <c r="B31" s="1187">
        <v>2997200</v>
      </c>
      <c r="C31" s="1188" t="s">
        <v>916</v>
      </c>
      <c r="D31" s="1189"/>
      <c r="E31" s="1189"/>
      <c r="F31" s="757">
        <v>2997200</v>
      </c>
      <c r="G31" s="757"/>
      <c r="H31" s="698"/>
      <c r="I31" s="701">
        <f t="shared" si="1"/>
        <v>0</v>
      </c>
    </row>
    <row r="32" spans="1:9" s="547" customFormat="1" ht="38.25" x14ac:dyDescent="0.2">
      <c r="A32" s="1186" t="s">
        <v>937</v>
      </c>
      <c r="B32" s="1187">
        <v>5000000</v>
      </c>
      <c r="C32" s="1188" t="s">
        <v>916</v>
      </c>
      <c r="D32" s="1189"/>
      <c r="E32" s="1189"/>
      <c r="F32" s="757">
        <v>5000000</v>
      </c>
      <c r="G32" s="757"/>
      <c r="H32" s="698"/>
      <c r="I32" s="701">
        <f t="shared" si="1"/>
        <v>0</v>
      </c>
    </row>
    <row r="33" spans="1:9" s="547" customFormat="1" ht="25.5" x14ac:dyDescent="0.2">
      <c r="A33" s="1186" t="s">
        <v>938</v>
      </c>
      <c r="B33" s="1187">
        <v>1964690</v>
      </c>
      <c r="C33" s="1188" t="s">
        <v>916</v>
      </c>
      <c r="D33" s="1189"/>
      <c r="E33" s="1189"/>
      <c r="F33" s="757">
        <v>1964690</v>
      </c>
      <c r="G33" s="757">
        <v>1964690</v>
      </c>
      <c r="H33" s="698"/>
      <c r="I33" s="701">
        <f t="shared" si="1"/>
        <v>1964690</v>
      </c>
    </row>
    <row r="34" spans="1:9" s="547" customFormat="1" x14ac:dyDescent="0.2">
      <c r="A34" s="1186" t="s">
        <v>939</v>
      </c>
      <c r="B34" s="1187">
        <v>239013622</v>
      </c>
      <c r="C34" s="1188" t="s">
        <v>940</v>
      </c>
      <c r="D34" s="1189"/>
      <c r="E34" s="1189"/>
      <c r="F34" s="757">
        <v>239013622</v>
      </c>
      <c r="G34" s="757"/>
      <c r="H34" s="698"/>
      <c r="I34" s="701">
        <f t="shared" si="1"/>
        <v>0</v>
      </c>
    </row>
    <row r="35" spans="1:9" s="547" customFormat="1" ht="25.5" x14ac:dyDescent="0.2">
      <c r="A35" s="1186" t="s">
        <v>941</v>
      </c>
      <c r="B35" s="1187">
        <v>8786521</v>
      </c>
      <c r="C35" s="1188" t="s">
        <v>940</v>
      </c>
      <c r="D35" s="1189"/>
      <c r="E35" s="1189"/>
      <c r="F35" s="757">
        <v>8786521</v>
      </c>
      <c r="G35" s="757"/>
      <c r="H35" s="698"/>
      <c r="I35" s="701">
        <f t="shared" si="1"/>
        <v>0</v>
      </c>
    </row>
    <row r="36" spans="1:9" s="547" customFormat="1" ht="26.25" thickBot="1" x14ac:dyDescent="0.25">
      <c r="A36" s="1186" t="s">
        <v>942</v>
      </c>
      <c r="B36" s="1187">
        <v>165000000</v>
      </c>
      <c r="C36" s="1188" t="s">
        <v>940</v>
      </c>
      <c r="D36" s="1189"/>
      <c r="E36" s="1189"/>
      <c r="F36" s="700">
        <v>165000000</v>
      </c>
      <c r="G36" s="700"/>
      <c r="H36" s="1196"/>
      <c r="I36" s="1197">
        <f t="shared" si="1"/>
        <v>0</v>
      </c>
    </row>
    <row r="37" spans="1:9" s="668" customFormat="1" ht="11.25" thickBot="1" x14ac:dyDescent="0.25">
      <c r="A37" s="1199" t="s">
        <v>815</v>
      </c>
      <c r="B37" s="1200">
        <f t="shared" ref="B37:I37" si="2">SUM(B38:B40)</f>
        <v>2765199</v>
      </c>
      <c r="C37" s="1200">
        <f t="shared" si="2"/>
        <v>0</v>
      </c>
      <c r="D37" s="1200">
        <f t="shared" si="2"/>
        <v>0</v>
      </c>
      <c r="E37" s="1200">
        <f t="shared" si="2"/>
        <v>0</v>
      </c>
      <c r="F37" s="1200">
        <f t="shared" si="2"/>
        <v>2765199</v>
      </c>
      <c r="G37" s="1200">
        <f t="shared" si="2"/>
        <v>920962</v>
      </c>
      <c r="H37" s="1200">
        <f t="shared" si="2"/>
        <v>10626</v>
      </c>
      <c r="I37" s="1201">
        <f t="shared" si="2"/>
        <v>931588</v>
      </c>
    </row>
    <row r="38" spans="1:9" s="547" customFormat="1" ht="11.25" x14ac:dyDescent="0.2">
      <c r="A38" s="1202" t="s">
        <v>816</v>
      </c>
      <c r="B38" s="1209">
        <v>1009999</v>
      </c>
      <c r="C38" s="1210" t="s">
        <v>909</v>
      </c>
      <c r="D38" s="1211"/>
      <c r="E38" s="1211"/>
      <c r="F38" s="1211">
        <v>1009999</v>
      </c>
      <c r="G38" s="1211">
        <f>149660+40409</f>
        <v>190069</v>
      </c>
      <c r="H38" s="1212"/>
      <c r="I38" s="1213">
        <f t="shared" si="1"/>
        <v>190069</v>
      </c>
    </row>
    <row r="39" spans="1:9" s="547" customFormat="1" ht="11.25" x14ac:dyDescent="0.2">
      <c r="A39" s="1203" t="s">
        <v>817</v>
      </c>
      <c r="B39" s="331">
        <v>967100</v>
      </c>
      <c r="C39" s="699" t="s">
        <v>909</v>
      </c>
      <c r="D39" s="757"/>
      <c r="E39" s="757"/>
      <c r="F39" s="757">
        <v>967100</v>
      </c>
      <c r="G39" s="757">
        <v>688740</v>
      </c>
      <c r="H39" s="698">
        <v>10626</v>
      </c>
      <c r="I39" s="701">
        <f t="shared" si="1"/>
        <v>699366</v>
      </c>
    </row>
    <row r="40" spans="1:9" s="547" customFormat="1" ht="23.25" customHeight="1" thickBot="1" x14ac:dyDescent="0.25">
      <c r="A40" s="1204" t="s">
        <v>910</v>
      </c>
      <c r="B40" s="1214">
        <v>788100</v>
      </c>
      <c r="C40" s="1191" t="s">
        <v>909</v>
      </c>
      <c r="D40" s="700"/>
      <c r="E40" s="700"/>
      <c r="F40" s="700">
        <v>788100</v>
      </c>
      <c r="G40" s="700">
        <f>33191+8962</f>
        <v>42153</v>
      </c>
      <c r="H40" s="1196"/>
      <c r="I40" s="1197">
        <f t="shared" si="1"/>
        <v>42153</v>
      </c>
    </row>
    <row r="41" spans="1:9" s="547" customFormat="1" ht="21.75" thickBot="1" x14ac:dyDescent="0.25">
      <c r="A41" s="1205" t="s">
        <v>868</v>
      </c>
      <c r="B41" s="1215">
        <f t="shared" ref="B41:I41" si="3">SUM(B42:B42)</f>
        <v>800000</v>
      </c>
      <c r="C41" s="1200">
        <f t="shared" si="3"/>
        <v>0</v>
      </c>
      <c r="D41" s="1200">
        <f t="shared" si="3"/>
        <v>0</v>
      </c>
      <c r="E41" s="1200">
        <f t="shared" si="3"/>
        <v>0</v>
      </c>
      <c r="F41" s="1200">
        <f t="shared" si="3"/>
        <v>800000</v>
      </c>
      <c r="G41" s="1200">
        <f t="shared" si="3"/>
        <v>723919</v>
      </c>
      <c r="H41" s="1200">
        <f t="shared" si="3"/>
        <v>0</v>
      </c>
      <c r="I41" s="1201">
        <f t="shared" si="3"/>
        <v>723919</v>
      </c>
    </row>
    <row r="42" spans="1:9" s="547" customFormat="1" ht="12" thickBot="1" x14ac:dyDescent="0.25">
      <c r="A42" s="1206" t="s">
        <v>867</v>
      </c>
      <c r="B42" s="1218">
        <v>800000</v>
      </c>
      <c r="C42" s="1219" t="s">
        <v>909</v>
      </c>
      <c r="D42" s="1190"/>
      <c r="E42" s="1190"/>
      <c r="F42" s="1190">
        <v>800000</v>
      </c>
      <c r="G42" s="1190">
        <v>723919</v>
      </c>
      <c r="H42" s="1220"/>
      <c r="I42" s="1221">
        <f t="shared" si="1"/>
        <v>723919</v>
      </c>
    </row>
    <row r="43" spans="1:9" s="547" customFormat="1" ht="21.75" thickBot="1" x14ac:dyDescent="0.25">
      <c r="A43" s="1205" t="s">
        <v>869</v>
      </c>
      <c r="B43" s="1215">
        <f t="shared" ref="B43:I43" si="4">SUM(B44:B52)</f>
        <v>59387852</v>
      </c>
      <c r="C43" s="1200">
        <f t="shared" si="4"/>
        <v>0</v>
      </c>
      <c r="D43" s="1200">
        <f t="shared" si="4"/>
        <v>0</v>
      </c>
      <c r="E43" s="1200">
        <f t="shared" si="4"/>
        <v>0</v>
      </c>
      <c r="F43" s="1200">
        <f t="shared" si="4"/>
        <v>59387852</v>
      </c>
      <c r="G43" s="1200">
        <f t="shared" si="4"/>
        <v>59002847</v>
      </c>
      <c r="H43" s="1200">
        <f t="shared" si="4"/>
        <v>0</v>
      </c>
      <c r="I43" s="1201">
        <f t="shared" si="4"/>
        <v>59002847</v>
      </c>
    </row>
    <row r="44" spans="1:9" s="547" customFormat="1" ht="22.5" x14ac:dyDescent="0.2">
      <c r="A44" s="1202" t="s">
        <v>917</v>
      </c>
      <c r="B44" s="1216">
        <v>2828812</v>
      </c>
      <c r="C44" s="1198" t="s">
        <v>909</v>
      </c>
      <c r="D44" s="794"/>
      <c r="E44" s="794"/>
      <c r="F44" s="794">
        <v>2828812</v>
      </c>
      <c r="G44" s="794">
        <v>2875742</v>
      </c>
      <c r="H44" s="1193"/>
      <c r="I44" s="1194">
        <f t="shared" si="1"/>
        <v>2875742</v>
      </c>
    </row>
    <row r="45" spans="1:9" s="547" customFormat="1" x14ac:dyDescent="0.2">
      <c r="A45" s="937" t="s">
        <v>924</v>
      </c>
      <c r="B45" s="942">
        <v>112338</v>
      </c>
      <c r="C45" s="943" t="s">
        <v>909</v>
      </c>
      <c r="D45" s="757"/>
      <c r="E45" s="757"/>
      <c r="F45" s="757">
        <v>112338</v>
      </c>
      <c r="G45" s="700"/>
      <c r="H45" s="698"/>
      <c r="I45" s="701"/>
    </row>
    <row r="46" spans="1:9" s="547" customFormat="1" ht="11.25" x14ac:dyDescent="0.2">
      <c r="A46" s="1207" t="s">
        <v>918</v>
      </c>
      <c r="B46" s="331">
        <v>311150</v>
      </c>
      <c r="C46" s="699" t="s">
        <v>909</v>
      </c>
      <c r="D46" s="757"/>
      <c r="E46" s="757"/>
      <c r="F46" s="698">
        <v>311150</v>
      </c>
      <c r="G46" s="757">
        <v>311150</v>
      </c>
      <c r="H46" s="938"/>
      <c r="I46" s="701">
        <f t="shared" si="1"/>
        <v>311150</v>
      </c>
    </row>
    <row r="47" spans="1:9" s="547" customFormat="1" ht="22.5" x14ac:dyDescent="0.2">
      <c r="A47" s="1207" t="s">
        <v>919</v>
      </c>
      <c r="B47" s="331">
        <v>46225541</v>
      </c>
      <c r="C47" s="699" t="s">
        <v>909</v>
      </c>
      <c r="D47" s="757"/>
      <c r="E47" s="757"/>
      <c r="F47" s="698">
        <v>46225541</v>
      </c>
      <c r="G47" s="757">
        <v>46024769</v>
      </c>
      <c r="H47" s="938"/>
      <c r="I47" s="701">
        <f t="shared" si="1"/>
        <v>46024769</v>
      </c>
    </row>
    <row r="48" spans="1:9" s="547" customFormat="1" ht="22.5" x14ac:dyDescent="0.2">
      <c r="A48" s="1207" t="s">
        <v>920</v>
      </c>
      <c r="B48" s="331">
        <v>2197788</v>
      </c>
      <c r="C48" s="699" t="s">
        <v>909</v>
      </c>
      <c r="D48" s="757"/>
      <c r="E48" s="757"/>
      <c r="F48" s="698">
        <v>2197788</v>
      </c>
      <c r="G48" s="757">
        <v>2197788</v>
      </c>
      <c r="H48" s="938"/>
      <c r="I48" s="701">
        <f t="shared" si="1"/>
        <v>2197788</v>
      </c>
    </row>
    <row r="49" spans="1:10" s="547" customFormat="1" ht="22.5" x14ac:dyDescent="0.2">
      <c r="A49" s="1207" t="s">
        <v>921</v>
      </c>
      <c r="B49" s="331">
        <v>1631608</v>
      </c>
      <c r="C49" s="699" t="s">
        <v>909</v>
      </c>
      <c r="D49" s="757"/>
      <c r="E49" s="757"/>
      <c r="F49" s="698">
        <v>1631608</v>
      </c>
      <c r="G49" s="757">
        <v>1631608</v>
      </c>
      <c r="H49" s="938"/>
      <c r="I49" s="701">
        <f t="shared" si="1"/>
        <v>1631608</v>
      </c>
    </row>
    <row r="50" spans="1:10" s="547" customFormat="1" ht="25.5" x14ac:dyDescent="0.2">
      <c r="A50" s="816" t="s">
        <v>923</v>
      </c>
      <c r="B50" s="940">
        <v>1201000</v>
      </c>
      <c r="C50" s="941" t="s">
        <v>909</v>
      </c>
      <c r="D50" s="757"/>
      <c r="E50" s="757"/>
      <c r="F50" s="698">
        <v>1201000</v>
      </c>
      <c r="G50" s="757">
        <f>285100+665700+168203+2759</f>
        <v>1121762</v>
      </c>
      <c r="H50" s="938"/>
      <c r="I50" s="701">
        <f t="shared" si="1"/>
        <v>1121762</v>
      </c>
      <c r="J50" s="944"/>
    </row>
    <row r="51" spans="1:10" s="547" customFormat="1" ht="22.5" x14ac:dyDescent="0.2">
      <c r="A51" s="1207" t="s">
        <v>921</v>
      </c>
      <c r="B51" s="331">
        <v>4019215</v>
      </c>
      <c r="C51" s="699" t="s">
        <v>909</v>
      </c>
      <c r="D51" s="757"/>
      <c r="E51" s="757"/>
      <c r="F51" s="698">
        <v>4019215</v>
      </c>
      <c r="G51" s="757">
        <v>4019215</v>
      </c>
      <c r="H51" s="938"/>
      <c r="I51" s="701">
        <f t="shared" ref="I51" si="5">D51+G51+H51</f>
        <v>4019215</v>
      </c>
    </row>
    <row r="52" spans="1:10" s="547" customFormat="1" ht="26.25" thickBot="1" x14ac:dyDescent="0.25">
      <c r="A52" s="1222" t="s">
        <v>922</v>
      </c>
      <c r="B52" s="1223">
        <v>860400</v>
      </c>
      <c r="C52" s="1224" t="s">
        <v>909</v>
      </c>
      <c r="D52" s="700"/>
      <c r="E52" s="700"/>
      <c r="F52" s="700">
        <v>860400</v>
      </c>
      <c r="G52" s="1190">
        <v>820813</v>
      </c>
      <c r="H52" s="1196"/>
      <c r="I52" s="1197">
        <f t="shared" si="1"/>
        <v>820813</v>
      </c>
    </row>
    <row r="53" spans="1:10" s="547" customFormat="1" ht="21.75" thickBot="1" x14ac:dyDescent="0.25">
      <c r="A53" s="1205" t="s">
        <v>870</v>
      </c>
      <c r="B53" s="1215">
        <f t="shared" ref="B53:I53" si="6">SUM(B54:B58)</f>
        <v>21399737</v>
      </c>
      <c r="C53" s="1200">
        <f t="shared" si="6"/>
        <v>0</v>
      </c>
      <c r="D53" s="1200">
        <f t="shared" si="6"/>
        <v>0</v>
      </c>
      <c r="E53" s="1200">
        <f t="shared" si="6"/>
        <v>0</v>
      </c>
      <c r="F53" s="1200">
        <f t="shared" si="6"/>
        <v>21399737</v>
      </c>
      <c r="G53" s="1200">
        <f t="shared" si="6"/>
        <v>14175591</v>
      </c>
      <c r="H53" s="1200">
        <f t="shared" si="6"/>
        <v>0</v>
      </c>
      <c r="I53" s="1201">
        <f t="shared" si="6"/>
        <v>14175591</v>
      </c>
    </row>
    <row r="54" spans="1:10" s="547" customFormat="1" ht="11.25" x14ac:dyDescent="0.2">
      <c r="A54" s="1202" t="s">
        <v>867</v>
      </c>
      <c r="B54" s="1216">
        <v>3082850</v>
      </c>
      <c r="C54" s="1198" t="s">
        <v>909</v>
      </c>
      <c r="D54" s="794"/>
      <c r="E54" s="794"/>
      <c r="F54" s="794">
        <v>3082850</v>
      </c>
      <c r="G54" s="794">
        <v>2352557</v>
      </c>
      <c r="H54" s="1193"/>
      <c r="I54" s="1194">
        <v>2352557</v>
      </c>
    </row>
    <row r="55" spans="1:10" s="547" customFormat="1" ht="11.25" x14ac:dyDescent="0.2">
      <c r="A55" s="1207" t="s">
        <v>816</v>
      </c>
      <c r="B55" s="331">
        <v>300000</v>
      </c>
      <c r="C55" s="699" t="s">
        <v>909</v>
      </c>
      <c r="D55" s="757"/>
      <c r="E55" s="757"/>
      <c r="F55" s="757">
        <v>300000</v>
      </c>
      <c r="G55" s="757">
        <v>173386</v>
      </c>
      <c r="H55" s="698"/>
      <c r="I55" s="701">
        <v>173386</v>
      </c>
    </row>
    <row r="56" spans="1:10" s="547" customFormat="1" ht="11.25" x14ac:dyDescent="0.2">
      <c r="A56" s="1207" t="s">
        <v>1071</v>
      </c>
      <c r="B56" s="331">
        <v>1193800</v>
      </c>
      <c r="C56" s="699" t="s">
        <v>926</v>
      </c>
      <c r="D56" s="757"/>
      <c r="E56" s="757"/>
      <c r="F56" s="757">
        <v>1193800</v>
      </c>
      <c r="G56" s="757">
        <v>140000</v>
      </c>
      <c r="H56" s="698"/>
      <c r="I56" s="701">
        <v>140000</v>
      </c>
    </row>
    <row r="57" spans="1:10" s="547" customFormat="1" ht="22.5" x14ac:dyDescent="0.2">
      <c r="A57" s="1207" t="s">
        <v>1072</v>
      </c>
      <c r="B57" s="331">
        <v>16740287</v>
      </c>
      <c r="C57" s="699" t="s">
        <v>909</v>
      </c>
      <c r="D57" s="757"/>
      <c r="E57" s="757"/>
      <c r="F57" s="757">
        <v>16740287</v>
      </c>
      <c r="G57" s="757">
        <v>11481448</v>
      </c>
      <c r="H57" s="698"/>
      <c r="I57" s="701">
        <v>11481448</v>
      </c>
    </row>
    <row r="58" spans="1:10" s="547" customFormat="1" ht="12" thickBot="1" x14ac:dyDescent="0.25">
      <c r="A58" s="1204" t="s">
        <v>1073</v>
      </c>
      <c r="B58" s="1214">
        <v>82800</v>
      </c>
      <c r="C58" s="1191" t="s">
        <v>909</v>
      </c>
      <c r="D58" s="700"/>
      <c r="E58" s="700"/>
      <c r="F58" s="700">
        <v>82800</v>
      </c>
      <c r="G58" s="700">
        <v>28200</v>
      </c>
      <c r="H58" s="1196"/>
      <c r="I58" s="1197">
        <v>28200</v>
      </c>
    </row>
    <row r="59" spans="1:10" s="547" customFormat="1" ht="12" thickBot="1" x14ac:dyDescent="0.25">
      <c r="A59" s="1205" t="s">
        <v>871</v>
      </c>
      <c r="B59" s="1215">
        <f>SUM(B60:B63)</f>
        <v>3365800</v>
      </c>
      <c r="C59" s="1200">
        <f t="shared" ref="C59:I59" si="7">SUM(C60:C63)</f>
        <v>0</v>
      </c>
      <c r="D59" s="1200">
        <f t="shared" si="7"/>
        <v>0</v>
      </c>
      <c r="E59" s="1200">
        <f t="shared" si="7"/>
        <v>0</v>
      </c>
      <c r="F59" s="1200">
        <f t="shared" si="7"/>
        <v>3365800</v>
      </c>
      <c r="G59" s="1200">
        <f t="shared" si="7"/>
        <v>3284412</v>
      </c>
      <c r="H59" s="1200">
        <f t="shared" si="7"/>
        <v>0</v>
      </c>
      <c r="I59" s="1201">
        <f t="shared" si="7"/>
        <v>3284412</v>
      </c>
    </row>
    <row r="60" spans="1:10" s="547" customFormat="1" ht="11.25" x14ac:dyDescent="0.2">
      <c r="A60" s="1202" t="s">
        <v>913</v>
      </c>
      <c r="B60" s="1216">
        <v>75800</v>
      </c>
      <c r="C60" s="1198" t="s">
        <v>909</v>
      </c>
      <c r="D60" s="794"/>
      <c r="E60" s="794"/>
      <c r="F60" s="794">
        <v>75800</v>
      </c>
      <c r="G60" s="794">
        <v>49778</v>
      </c>
      <c r="H60" s="1193"/>
      <c r="I60" s="1194">
        <f t="shared" ref="I60:I63" si="8">D60+G60+H60</f>
        <v>49778</v>
      </c>
    </row>
    <row r="61" spans="1:10" s="547" customFormat="1" ht="22.5" x14ac:dyDescent="0.2">
      <c r="A61" s="1207" t="s">
        <v>914</v>
      </c>
      <c r="B61" s="331">
        <v>250000</v>
      </c>
      <c r="C61" s="699" t="s">
        <v>909</v>
      </c>
      <c r="D61" s="757"/>
      <c r="E61" s="757"/>
      <c r="F61" s="757">
        <v>250000</v>
      </c>
      <c r="G61" s="757">
        <v>249754</v>
      </c>
      <c r="H61" s="698"/>
      <c r="I61" s="701">
        <f t="shared" si="8"/>
        <v>249754</v>
      </c>
    </row>
    <row r="62" spans="1:10" s="547" customFormat="1" ht="11.25" x14ac:dyDescent="0.2">
      <c r="A62" s="1207" t="s">
        <v>915</v>
      </c>
      <c r="B62" s="331">
        <v>3000000</v>
      </c>
      <c r="C62" s="699" t="s">
        <v>916</v>
      </c>
      <c r="D62" s="757"/>
      <c r="E62" s="757"/>
      <c r="F62" s="757">
        <v>3000000</v>
      </c>
      <c r="G62" s="757">
        <v>2949880</v>
      </c>
      <c r="H62" s="698"/>
      <c r="I62" s="701">
        <f t="shared" si="8"/>
        <v>2949880</v>
      </c>
    </row>
    <row r="63" spans="1:10" s="547" customFormat="1" ht="12" thickBot="1" x14ac:dyDescent="0.25">
      <c r="A63" s="1204" t="s">
        <v>816</v>
      </c>
      <c r="B63" s="1214">
        <v>40000</v>
      </c>
      <c r="C63" s="1191" t="s">
        <v>909</v>
      </c>
      <c r="D63" s="757"/>
      <c r="E63" s="757"/>
      <c r="F63" s="700">
        <v>40000</v>
      </c>
      <c r="G63" s="757">
        <v>35000</v>
      </c>
      <c r="H63" s="698"/>
      <c r="I63" s="701">
        <f t="shared" si="8"/>
        <v>35000</v>
      </c>
    </row>
    <row r="64" spans="1:10" s="29" customFormat="1" ht="18" customHeight="1" thickBot="1" x14ac:dyDescent="0.25">
      <c r="A64" s="1208" t="s">
        <v>46</v>
      </c>
      <c r="B64" s="1217">
        <f>SUM(B7:B63)/2</f>
        <v>1079752973</v>
      </c>
      <c r="C64" s="41"/>
      <c r="D64" s="702">
        <f t="shared" ref="D64:H64" si="9">SUM(D7:D63)/2</f>
        <v>68659507</v>
      </c>
      <c r="E64" s="702">
        <f t="shared" si="9"/>
        <v>48414661</v>
      </c>
      <c r="F64" s="702">
        <f t="shared" si="9"/>
        <v>962678805</v>
      </c>
      <c r="G64" s="702">
        <f t="shared" si="9"/>
        <v>274821481</v>
      </c>
      <c r="H64" s="702">
        <f t="shared" si="9"/>
        <v>10626</v>
      </c>
      <c r="I64" s="28">
        <f>SUM(I7:I63)/2</f>
        <v>343491614</v>
      </c>
    </row>
  </sheetData>
  <mergeCells count="2">
    <mergeCell ref="A3:I3"/>
    <mergeCell ref="B1:I1"/>
  </mergeCells>
  <phoneticPr fontId="0" type="noConversion"/>
  <printOptions horizontalCentered="1"/>
  <pageMargins left="0.61" right="0.52" top="1.02" bottom="0.98425196850393704" header="0.78740157480314965" footer="0.78740157480314965"/>
  <pageSetup paperSize="9" scale="66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/>
  <dimension ref="A1:I30"/>
  <sheetViews>
    <sheetView view="pageBreakPreview" zoomScale="60" zoomScaleNormal="85" workbookViewId="0">
      <selection activeCell="G23" sqref="G23"/>
    </sheetView>
  </sheetViews>
  <sheetFormatPr defaultRowHeight="12.75" x14ac:dyDescent="0.2"/>
  <cols>
    <col min="1" max="1" width="54.1640625" style="20" customWidth="1"/>
    <col min="2" max="2" width="15.6640625" style="19" customWidth="1"/>
    <col min="3" max="3" width="16.33203125" style="19" customWidth="1"/>
    <col min="4" max="4" width="18" style="19" customWidth="1"/>
    <col min="5" max="5" width="18" style="948" customWidth="1"/>
    <col min="6" max="6" width="18" style="19" customWidth="1"/>
    <col min="7" max="7" width="15.83203125" style="19" customWidth="1"/>
    <col min="8" max="8" width="15.83203125" style="951" customWidth="1"/>
    <col min="9" max="9" width="18.83203125" style="19" customWidth="1"/>
    <col min="10" max="11" width="12.83203125" style="19" customWidth="1"/>
    <col min="12" max="12" width="13.83203125" style="19" customWidth="1"/>
    <col min="13" max="16384" width="9.33203125" style="19"/>
  </cols>
  <sheetData>
    <row r="1" spans="1:9" ht="15" x14ac:dyDescent="0.2">
      <c r="A1" s="273"/>
      <c r="B1" s="1345" t="str">
        <f>CONCATENATE("5. melléklet ",Z_ALAPADATOK!A7," ",Z_ALAPADATOK!B7," ",Z_ALAPADATOK!C7," ",Z_ALAPADATOK!D7," ",Z_ALAPADATOK!E7," ",Z_ALAPADATOK!F7," ",Z_ALAPADATOK!G7," ",Z_ALAPADATOK!H7)</f>
        <v>5. melléklet a 12 / 2022. ( V.30. ) önkormányzati rendelethez</v>
      </c>
      <c r="C1" s="1345"/>
      <c r="D1" s="1345"/>
      <c r="E1" s="1345"/>
      <c r="F1" s="1345"/>
      <c r="G1" s="1345"/>
      <c r="H1" s="1345"/>
      <c r="I1" s="1345"/>
    </row>
    <row r="2" spans="1:9" x14ac:dyDescent="0.2">
      <c r="A2" s="273"/>
      <c r="B2" s="274"/>
      <c r="C2" s="274"/>
      <c r="D2" s="274"/>
      <c r="E2" s="946"/>
      <c r="F2" s="274"/>
      <c r="G2" s="274"/>
      <c r="H2" s="949"/>
      <c r="I2" s="274"/>
    </row>
    <row r="3" spans="1:9" ht="24.75" customHeight="1" x14ac:dyDescent="0.2">
      <c r="A3" s="1344" t="s">
        <v>466</v>
      </c>
      <c r="B3" s="1344"/>
      <c r="C3" s="1344"/>
      <c r="D3" s="1344"/>
      <c r="E3" s="1344"/>
      <c r="F3" s="1344"/>
      <c r="G3" s="1344"/>
      <c r="H3" s="1344"/>
      <c r="I3" s="1344"/>
    </row>
    <row r="4" spans="1:9" ht="23.25" customHeight="1" thickBot="1" x14ac:dyDescent="0.3">
      <c r="A4" s="273"/>
      <c r="B4" s="274"/>
      <c r="C4" s="274"/>
      <c r="D4" s="274"/>
      <c r="E4" s="946"/>
      <c r="F4" s="274"/>
      <c r="G4" s="274"/>
      <c r="H4" s="949"/>
      <c r="I4" s="275" t="str">
        <f>Z_3.sz.mell.!I4</f>
        <v xml:space="preserve"> Forintban!</v>
      </c>
    </row>
    <row r="5" spans="1:9" s="21" customFormat="1" ht="48.75" customHeight="1" thickBot="1" x14ac:dyDescent="0.25">
      <c r="A5" s="276" t="s">
        <v>50</v>
      </c>
      <c r="B5" s="249" t="s">
        <v>48</v>
      </c>
      <c r="C5" s="249" t="s">
        <v>49</v>
      </c>
      <c r="D5" s="249" t="str">
        <f>+Z_3.sz.mell.!D5</f>
        <v>Felhasználás   2020. XII. 31-ig</v>
      </c>
      <c r="E5" s="950" t="s">
        <v>943</v>
      </c>
      <c r="F5" s="249" t="str">
        <f>+CONCATENATE(LEFT(Z_ÖSSZEFÜGGÉSEK!A6,4),". évi",CHAR(10),"módosított előirányzat")</f>
        <v>2021. évi
módosított előirányzat</v>
      </c>
      <c r="G5" s="249" t="str">
        <f>+CONCATENATE("Teljesítés",CHAR(10),LEFT(Z_ÖSSZEFÜGGÉSEK!A6,4),". I. 1-től XII. 31-ig")</f>
        <v>Teljesítés
2021. I. 1-től XII. 31-ig</v>
      </c>
      <c r="H5" s="458" t="s">
        <v>911</v>
      </c>
      <c r="I5" s="250" t="str">
        <f>+CONCATENATE("Összes teljesítés",CHAR(10),LEFT(Z_ÖSSZEFÜGGÉSEK!A6,4),". XII. 31-ig")</f>
        <v>Összes teljesítés
2021. XII. 31-ig</v>
      </c>
    </row>
    <row r="6" spans="1:9" s="25" customFormat="1" ht="15.2" customHeight="1" thickBot="1" x14ac:dyDescent="0.25">
      <c r="A6" s="552" t="s">
        <v>354</v>
      </c>
      <c r="B6" s="553" t="s">
        <v>355</v>
      </c>
      <c r="C6" s="553" t="s">
        <v>356</v>
      </c>
      <c r="D6" s="553" t="s">
        <v>358</v>
      </c>
      <c r="E6" s="553" t="s">
        <v>357</v>
      </c>
      <c r="F6" s="553" t="s">
        <v>359</v>
      </c>
      <c r="G6" s="553" t="s">
        <v>360</v>
      </c>
      <c r="H6" s="548" t="s">
        <v>361</v>
      </c>
      <c r="I6" s="554" t="s">
        <v>953</v>
      </c>
    </row>
    <row r="7" spans="1:9" ht="13.5" thickBot="1" x14ac:dyDescent="0.25">
      <c r="A7" s="1237" t="s">
        <v>748</v>
      </c>
      <c r="B7" s="1238">
        <f t="shared" ref="B7:I7" si="0">SUM(B8:B25)</f>
        <v>2033535032</v>
      </c>
      <c r="C7" s="1238">
        <f t="shared" si="0"/>
        <v>6063</v>
      </c>
      <c r="D7" s="1239">
        <f t="shared" si="0"/>
        <v>55771576</v>
      </c>
      <c r="E7" s="1239">
        <f t="shared" si="0"/>
        <v>0</v>
      </c>
      <c r="F7" s="1240">
        <f t="shared" si="0"/>
        <v>1935632830</v>
      </c>
      <c r="G7" s="1238">
        <f t="shared" si="0"/>
        <v>289690346</v>
      </c>
      <c r="H7" s="1238">
        <f t="shared" si="0"/>
        <v>0</v>
      </c>
      <c r="I7" s="1241">
        <f t="shared" si="0"/>
        <v>345461922</v>
      </c>
    </row>
    <row r="8" spans="1:9" x14ac:dyDescent="0.2">
      <c r="A8" s="1231" t="s">
        <v>776</v>
      </c>
      <c r="B8" s="1232">
        <v>181829464</v>
      </c>
      <c r="C8" s="1178" t="s">
        <v>926</v>
      </c>
      <c r="D8" s="1233">
        <v>80000</v>
      </c>
      <c r="E8" s="1233"/>
      <c r="F8" s="1233">
        <v>181749464</v>
      </c>
      <c r="G8" s="1234">
        <v>18962079</v>
      </c>
      <c r="H8" s="1235"/>
      <c r="I8" s="1236">
        <f>D8+G8+H8</f>
        <v>19042079</v>
      </c>
    </row>
    <row r="9" spans="1:9" s="546" customFormat="1" x14ac:dyDescent="0.2">
      <c r="A9" s="1225" t="s">
        <v>821</v>
      </c>
      <c r="B9" s="1226">
        <v>6350000</v>
      </c>
      <c r="C9" s="1182">
        <v>2021</v>
      </c>
      <c r="D9" s="947"/>
      <c r="E9" s="947"/>
      <c r="F9" s="947">
        <v>6350000</v>
      </c>
      <c r="G9" s="30">
        <v>5933377</v>
      </c>
      <c r="H9" s="945"/>
      <c r="I9" s="31">
        <f t="shared" ref="I9:I29" si="1">D9+G9+H9</f>
        <v>5933377</v>
      </c>
    </row>
    <row r="10" spans="1:9" s="546" customFormat="1" x14ac:dyDescent="0.2">
      <c r="A10" s="1225" t="s">
        <v>822</v>
      </c>
      <c r="B10" s="1226">
        <v>49405076</v>
      </c>
      <c r="C10" s="1182" t="s">
        <v>819</v>
      </c>
      <c r="D10" s="947">
        <v>49405076</v>
      </c>
      <c r="E10" s="947"/>
      <c r="F10" s="947">
        <v>0</v>
      </c>
      <c r="G10" s="30"/>
      <c r="H10" s="945"/>
      <c r="I10" s="31">
        <f t="shared" si="1"/>
        <v>49405076</v>
      </c>
    </row>
    <row r="11" spans="1:9" s="939" customFormat="1" x14ac:dyDescent="0.2">
      <c r="A11" s="1225" t="s">
        <v>944</v>
      </c>
      <c r="B11" s="1226">
        <v>5080000</v>
      </c>
      <c r="C11" s="1182" t="s">
        <v>818</v>
      </c>
      <c r="D11" s="947"/>
      <c r="E11" s="947"/>
      <c r="F11" s="947">
        <v>5080000</v>
      </c>
      <c r="G11" s="30">
        <v>2596498</v>
      </c>
      <c r="H11" s="945"/>
      <c r="I11" s="31">
        <f t="shared" si="1"/>
        <v>2596498</v>
      </c>
    </row>
    <row r="12" spans="1:9" s="939" customFormat="1" x14ac:dyDescent="0.2">
      <c r="A12" s="1225" t="s">
        <v>945</v>
      </c>
      <c r="B12" s="1226">
        <v>1397000</v>
      </c>
      <c r="C12" s="1182">
        <v>2021</v>
      </c>
      <c r="D12" s="947"/>
      <c r="E12" s="947"/>
      <c r="F12" s="947">
        <v>1397000</v>
      </c>
      <c r="G12" s="30"/>
      <c r="H12" s="945"/>
      <c r="I12" s="31">
        <f t="shared" si="1"/>
        <v>0</v>
      </c>
    </row>
    <row r="13" spans="1:9" s="939" customFormat="1" x14ac:dyDescent="0.2">
      <c r="A13" s="1225" t="s">
        <v>823</v>
      </c>
      <c r="B13" s="1226">
        <v>0</v>
      </c>
      <c r="C13" s="1182">
        <v>2021</v>
      </c>
      <c r="D13" s="947"/>
      <c r="E13" s="947"/>
      <c r="F13" s="947">
        <v>0</v>
      </c>
      <c r="G13" s="30"/>
      <c r="H13" s="945"/>
      <c r="I13" s="31">
        <f t="shared" si="1"/>
        <v>0</v>
      </c>
    </row>
    <row r="14" spans="1:9" s="939" customFormat="1" x14ac:dyDescent="0.2">
      <c r="A14" s="1225" t="s">
        <v>946</v>
      </c>
      <c r="B14" s="1226">
        <v>5207000</v>
      </c>
      <c r="C14" s="1182" t="s">
        <v>909</v>
      </c>
      <c r="D14" s="947"/>
      <c r="E14" s="947"/>
      <c r="F14" s="1226">
        <v>5207000</v>
      </c>
      <c r="G14" s="30">
        <v>5207000</v>
      </c>
      <c r="H14" s="945"/>
      <c r="I14" s="31">
        <f t="shared" si="1"/>
        <v>5207000</v>
      </c>
    </row>
    <row r="15" spans="1:9" s="939" customFormat="1" x14ac:dyDescent="0.2">
      <c r="A15" s="1227" t="s">
        <v>947</v>
      </c>
      <c r="B15" s="1226">
        <v>46014821</v>
      </c>
      <c r="C15" s="1182" t="s">
        <v>818</v>
      </c>
      <c r="D15" s="947"/>
      <c r="E15" s="947"/>
      <c r="F15" s="947">
        <v>46014821</v>
      </c>
      <c r="G15" s="30">
        <v>45811124</v>
      </c>
      <c r="H15" s="945"/>
      <c r="I15" s="31">
        <f t="shared" si="1"/>
        <v>45811124</v>
      </c>
    </row>
    <row r="16" spans="1:9" s="546" customFormat="1" ht="36" customHeight="1" x14ac:dyDescent="0.2">
      <c r="A16" s="1228" t="s">
        <v>948</v>
      </c>
      <c r="B16" s="1226">
        <v>46591747</v>
      </c>
      <c r="C16" s="1182" t="s">
        <v>916</v>
      </c>
      <c r="D16" s="947"/>
      <c r="E16" s="947"/>
      <c r="F16" s="947">
        <v>46591747</v>
      </c>
      <c r="G16" s="30">
        <v>533400</v>
      </c>
      <c r="H16" s="945"/>
      <c r="I16" s="31">
        <f t="shared" si="1"/>
        <v>533400</v>
      </c>
    </row>
    <row r="17" spans="1:9" s="546" customFormat="1" x14ac:dyDescent="0.2">
      <c r="A17" s="1229" t="s">
        <v>814</v>
      </c>
      <c r="B17" s="1226">
        <v>215238976</v>
      </c>
      <c r="C17" s="1182" t="s">
        <v>932</v>
      </c>
      <c r="D17" s="947">
        <v>6286500</v>
      </c>
      <c r="E17" s="947"/>
      <c r="F17" s="947">
        <v>208952476</v>
      </c>
      <c r="G17" s="30">
        <v>208948876</v>
      </c>
      <c r="H17" s="945"/>
      <c r="I17" s="31">
        <f t="shared" si="1"/>
        <v>215235376</v>
      </c>
    </row>
    <row r="18" spans="1:9" s="546" customFormat="1" x14ac:dyDescent="0.2">
      <c r="A18" s="1229" t="s">
        <v>824</v>
      </c>
      <c r="B18" s="1226">
        <v>5627218</v>
      </c>
      <c r="C18" s="1182" t="s">
        <v>820</v>
      </c>
      <c r="D18" s="947"/>
      <c r="E18" s="947"/>
      <c r="F18" s="947">
        <v>2813609</v>
      </c>
      <c r="G18" s="30"/>
      <c r="H18" s="945"/>
      <c r="I18" s="31">
        <f t="shared" si="1"/>
        <v>0</v>
      </c>
    </row>
    <row r="19" spans="1:9" s="546" customFormat="1" x14ac:dyDescent="0.2">
      <c r="A19" s="1229" t="s">
        <v>949</v>
      </c>
      <c r="B19" s="1226">
        <v>540000</v>
      </c>
      <c r="C19" s="1182" t="s">
        <v>909</v>
      </c>
      <c r="D19" s="947"/>
      <c r="E19" s="947"/>
      <c r="F19" s="947">
        <v>540000</v>
      </c>
      <c r="G19" s="30"/>
      <c r="H19" s="945"/>
      <c r="I19" s="31">
        <f t="shared" si="1"/>
        <v>0</v>
      </c>
    </row>
    <row r="20" spans="1:9" s="546" customFormat="1" x14ac:dyDescent="0.2">
      <c r="A20" s="1229" t="s">
        <v>950</v>
      </c>
      <c r="B20" s="1226">
        <v>703865</v>
      </c>
      <c r="C20" s="1182" t="s">
        <v>909</v>
      </c>
      <c r="D20" s="947"/>
      <c r="E20" s="947"/>
      <c r="F20" s="947">
        <v>703865</v>
      </c>
      <c r="G20" s="30">
        <v>697992</v>
      </c>
      <c r="H20" s="945"/>
      <c r="I20" s="31">
        <f t="shared" si="1"/>
        <v>697992</v>
      </c>
    </row>
    <row r="21" spans="1:9" s="546" customFormat="1" ht="25.5" x14ac:dyDescent="0.2">
      <c r="A21" s="1229" t="s">
        <v>936</v>
      </c>
      <c r="B21" s="1226">
        <v>742544705</v>
      </c>
      <c r="C21" s="1182" t="s">
        <v>916</v>
      </c>
      <c r="D21" s="947"/>
      <c r="E21" s="947"/>
      <c r="F21" s="947">
        <v>742544705</v>
      </c>
      <c r="G21" s="30"/>
      <c r="H21" s="945"/>
      <c r="I21" s="31">
        <f t="shared" si="1"/>
        <v>0</v>
      </c>
    </row>
    <row r="22" spans="1:9" s="546" customFormat="1" ht="25.5" x14ac:dyDescent="0.2">
      <c r="A22" s="1229" t="s">
        <v>937</v>
      </c>
      <c r="B22" s="1226">
        <v>190692883</v>
      </c>
      <c r="C22" s="1182" t="s">
        <v>916</v>
      </c>
      <c r="D22" s="947"/>
      <c r="E22" s="947"/>
      <c r="F22" s="947">
        <v>151375866</v>
      </c>
      <c r="G22" s="30"/>
      <c r="H22" s="945"/>
      <c r="I22" s="31">
        <f t="shared" si="1"/>
        <v>0</v>
      </c>
    </row>
    <row r="23" spans="1:9" s="546" customFormat="1" ht="25.5" x14ac:dyDescent="0.2">
      <c r="A23" s="1229" t="s">
        <v>951</v>
      </c>
      <c r="B23" s="1226">
        <v>50000000</v>
      </c>
      <c r="C23" s="1182" t="s">
        <v>916</v>
      </c>
      <c r="D23" s="947"/>
      <c r="E23" s="947"/>
      <c r="F23" s="947">
        <v>50000000</v>
      </c>
      <c r="G23" s="30">
        <v>1000000</v>
      </c>
      <c r="H23" s="945"/>
      <c r="I23" s="31">
        <f t="shared" si="1"/>
        <v>1000000</v>
      </c>
    </row>
    <row r="24" spans="1:9" s="546" customFormat="1" ht="25.5" x14ac:dyDescent="0.2">
      <c r="A24" s="1229" t="s">
        <v>938</v>
      </c>
      <c r="B24" s="1226">
        <v>190491997</v>
      </c>
      <c r="C24" s="1182" t="s">
        <v>916</v>
      </c>
      <c r="D24" s="947"/>
      <c r="E24" s="947"/>
      <c r="F24" s="947">
        <v>190491997</v>
      </c>
      <c r="G24" s="30"/>
      <c r="H24" s="945"/>
      <c r="I24" s="31">
        <f t="shared" si="1"/>
        <v>0</v>
      </c>
    </row>
    <row r="25" spans="1:9" s="546" customFormat="1" ht="13.5" thickBot="1" x14ac:dyDescent="0.25">
      <c r="A25" s="1242" t="s">
        <v>952</v>
      </c>
      <c r="B25" s="1243">
        <v>295820280</v>
      </c>
      <c r="C25" s="1188" t="s">
        <v>940</v>
      </c>
      <c r="D25" s="1244"/>
      <c r="E25" s="1244"/>
      <c r="F25" s="1244">
        <v>295820280</v>
      </c>
      <c r="G25" s="1245"/>
      <c r="H25" s="1246"/>
      <c r="I25" s="1247">
        <f t="shared" si="1"/>
        <v>0</v>
      </c>
    </row>
    <row r="26" spans="1:9" s="939" customFormat="1" ht="24.75" thickBot="1" x14ac:dyDescent="0.25">
      <c r="A26" s="1249" t="s">
        <v>869</v>
      </c>
      <c r="B26" s="1238">
        <f>SUM(B27)</f>
        <v>2739415</v>
      </c>
      <c r="C26" s="1238">
        <f t="shared" ref="C26" si="2">SUM(C27)</f>
        <v>0</v>
      </c>
      <c r="D26" s="1238">
        <f t="shared" ref="D26" si="3">SUM(D27)</f>
        <v>0</v>
      </c>
      <c r="E26" s="1238"/>
      <c r="F26" s="1238">
        <f t="shared" ref="F26" si="4">SUM(F27)</f>
        <v>2739415</v>
      </c>
      <c r="G26" s="1238">
        <f t="shared" ref="G26" si="5">SUM(G27)</f>
        <v>2739415</v>
      </c>
      <c r="H26" s="1238"/>
      <c r="I26" s="1250">
        <f t="shared" ref="I26" si="6">SUM(I27)</f>
        <v>2739415</v>
      </c>
    </row>
    <row r="27" spans="1:9" s="939" customFormat="1" ht="24.75" thickBot="1" x14ac:dyDescent="0.25">
      <c r="A27" s="1251" t="s">
        <v>925</v>
      </c>
      <c r="B27" s="1252">
        <v>2739415</v>
      </c>
      <c r="C27" s="1253" t="s">
        <v>909</v>
      </c>
      <c r="D27" s="1254"/>
      <c r="E27" s="1254"/>
      <c r="F27" s="1254">
        <v>2739415</v>
      </c>
      <c r="G27" s="1254">
        <v>2739415</v>
      </c>
      <c r="H27" s="1255"/>
      <c r="I27" s="1256">
        <f t="shared" si="1"/>
        <v>2739415</v>
      </c>
    </row>
    <row r="28" spans="1:9" s="546" customFormat="1" ht="13.5" thickBot="1" x14ac:dyDescent="0.25">
      <c r="A28" s="1249" t="s">
        <v>868</v>
      </c>
      <c r="B28" s="1238">
        <f>SUM(B29)</f>
        <v>1054700</v>
      </c>
      <c r="C28" s="1238">
        <f t="shared" ref="C28:I28" si="7">SUM(C29)</f>
        <v>0</v>
      </c>
      <c r="D28" s="1238">
        <f t="shared" si="7"/>
        <v>309929</v>
      </c>
      <c r="E28" s="1238"/>
      <c r="F28" s="1238">
        <f t="shared" si="7"/>
        <v>0</v>
      </c>
      <c r="G28" s="1238">
        <f t="shared" si="7"/>
        <v>0</v>
      </c>
      <c r="H28" s="1238"/>
      <c r="I28" s="1250">
        <f t="shared" si="7"/>
        <v>309929</v>
      </c>
    </row>
    <row r="29" spans="1:9" s="546" customFormat="1" ht="13.5" thickBot="1" x14ac:dyDescent="0.25">
      <c r="A29" s="1248" t="s">
        <v>872</v>
      </c>
      <c r="B29" s="1234">
        <v>1054700</v>
      </c>
      <c r="C29" s="1257" t="s">
        <v>912</v>
      </c>
      <c r="D29" s="1234">
        <v>309929</v>
      </c>
      <c r="E29" s="1234"/>
      <c r="F29" s="1234">
        <v>0</v>
      </c>
      <c r="G29" s="1234">
        <v>0</v>
      </c>
      <c r="H29" s="1235"/>
      <c r="I29" s="1236">
        <f t="shared" si="1"/>
        <v>309929</v>
      </c>
    </row>
    <row r="30" spans="1:9" s="29" customFormat="1" ht="18" customHeight="1" thickBot="1" x14ac:dyDescent="0.25">
      <c r="A30" s="57" t="s">
        <v>46</v>
      </c>
      <c r="B30" s="677">
        <f>SUM(B7:B29)/2</f>
        <v>2037329147</v>
      </c>
      <c r="C30" s="1230"/>
      <c r="D30" s="677">
        <f>SUM(D7:D29)/2</f>
        <v>56081505</v>
      </c>
      <c r="E30" s="677"/>
      <c r="F30" s="677">
        <f>SUM(F7:F29)/2</f>
        <v>1938372245</v>
      </c>
      <c r="G30" s="677">
        <f>SUM(G7:G29)/2</f>
        <v>292429761</v>
      </c>
      <c r="H30" s="677"/>
      <c r="I30" s="677">
        <f>SUM(I7:I29)/2</f>
        <v>348511266</v>
      </c>
    </row>
  </sheetData>
  <mergeCells count="2">
    <mergeCell ref="A3:I3"/>
    <mergeCell ref="B1:I1"/>
  </mergeCells>
  <phoneticPr fontId="0" type="noConversion"/>
  <printOptions horizontalCentered="1"/>
  <pageMargins left="0.65" right="0.78740157480314965" top="1.2369791666666667" bottom="0.98425196850393704" header="0.78740157480314965" footer="0.78740157480314965"/>
  <pageSetup paperSize="9" scale="71" orientation="landscape" horizontalDpi="300" verticalDpi="300" r:id="rId1"/>
  <headerFooter alignWithMargins="0">
    <oddHeader xml:space="preserve">&amp;R
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30</vt:i4>
      </vt:variant>
      <vt:variant>
        <vt:lpstr>Névvel ellátott tartományok</vt:lpstr>
      </vt:variant>
      <vt:variant>
        <vt:i4>12</vt:i4>
      </vt:variant>
    </vt:vector>
  </HeadingPairs>
  <TitlesOfParts>
    <vt:vector size="42" baseType="lpstr">
      <vt:lpstr>Z_TARTALOMJEGYZÉK</vt:lpstr>
      <vt:lpstr>Z_ALAPADATOK</vt:lpstr>
      <vt:lpstr>Z_ÖSSZEFÜGGÉSEK</vt:lpstr>
      <vt:lpstr>Z_1.1.sz.mell.</vt:lpstr>
      <vt:lpstr>Z_2.sz.mell</vt:lpstr>
      <vt:lpstr>Z_3.sz.mell</vt:lpstr>
      <vt:lpstr>Z_ELLENŐRZÉS</vt:lpstr>
      <vt:lpstr>Z_3.sz.mell.</vt:lpstr>
      <vt:lpstr>Z_4.sz.mell.</vt:lpstr>
      <vt:lpstr>Z_5.sz.mell.</vt:lpstr>
      <vt:lpstr>Z_6.1.sz.mell</vt:lpstr>
      <vt:lpstr>Z_6.2.sz.mell</vt:lpstr>
      <vt:lpstr>Z_6.3.sz.mell</vt:lpstr>
      <vt:lpstr>Z_6.4.sz.mell</vt:lpstr>
      <vt:lpstr>Z_6.5.sz.mell</vt:lpstr>
      <vt:lpstr>Z_6.6.sz.mell</vt:lpstr>
      <vt:lpstr>Z_6.7.sz.mell</vt:lpstr>
      <vt:lpstr>Z_7.sz.mell</vt:lpstr>
      <vt:lpstr>Z_8.sz.mell</vt:lpstr>
      <vt:lpstr>Z_1.tájékoztató_t.</vt:lpstr>
      <vt:lpstr>Z_2.tájékoztató_t.</vt:lpstr>
      <vt:lpstr>Z_3.tájékoztató_t.</vt:lpstr>
      <vt:lpstr>Z_4.tájékoztató_t.</vt:lpstr>
      <vt:lpstr>Z_5.tájékoztató_t.</vt:lpstr>
      <vt:lpstr>Z_6.tájékoztató_t.</vt:lpstr>
      <vt:lpstr>Z_7.1.tájékoztató_t.</vt:lpstr>
      <vt:lpstr>Z_7.2.tájékoztató_t.</vt:lpstr>
      <vt:lpstr>Z_7.3.tájékoztató_t.</vt:lpstr>
      <vt:lpstr>Z_8.tájékoztató_t.</vt:lpstr>
      <vt:lpstr>Z_9.tájékoztató_t.</vt:lpstr>
      <vt:lpstr>Z_7.3.tájékoztató_t.!_ftn1</vt:lpstr>
      <vt:lpstr>Z_7.3.tájékoztató_t.!_ftnref1</vt:lpstr>
      <vt:lpstr>Z_1.1.sz.mell.!Print_Area</vt:lpstr>
      <vt:lpstr>Z_1.tájékoztató_t.!Print_Area</vt:lpstr>
      <vt:lpstr>Z_6.1.sz.mell!Print_Titles</vt:lpstr>
      <vt:lpstr>Z_6.2.sz.mell!Print_Titles</vt:lpstr>
      <vt:lpstr>Z_6.3.sz.mell!Print_Titles</vt:lpstr>
      <vt:lpstr>Z_6.4.sz.mell!Print_Titles</vt:lpstr>
      <vt:lpstr>Z_6.5.sz.mell!Print_Titles</vt:lpstr>
      <vt:lpstr>Z_6.6.sz.mell!Print_Titles</vt:lpstr>
      <vt:lpstr>Z_6.7.sz.mell!Print_Titles</vt:lpstr>
      <vt:lpstr>Z_7.1.tájékoztató_t.!Print_Titles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2022-05-30T08:50:08Z</cp:lastPrinted>
  <dcterms:created xsi:type="dcterms:W3CDTF">1999-10-30T10:30:45Z</dcterms:created>
  <dcterms:modified xsi:type="dcterms:W3CDTF">2022-05-30T08:50:10Z</dcterms:modified>
</cp:coreProperties>
</file>