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330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r:id="rId16"/>
    <sheet name="8.2. sz. mell." sheetId="1423" r:id="rId17"/>
    <sheet name="8.3. sz. mell." sheetId="1424" r:id="rId18"/>
    <sheet name="8.4. sz. mell." sheetId="1425" r:id="rId19"/>
    <sheet name="8.5. sz. mell." sheetId="1426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r:id="rId32"/>
    <sheet name="9.4.1. sz. mell EKIK" sheetId="1466" r:id="rId33"/>
    <sheet name="9.4.2. sz. mell EKIK" sheetId="1467" r:id="rId34"/>
    <sheet name="9.5. sz. mell VK" sheetId="1468" r:id="rId35"/>
    <sheet name="9.5.1. sz. mell VK " sheetId="1469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_xlnm.Print_Titles" localSheetId="21">'9.1. sz. mell.'!$3:$5</definedName>
    <definedName name="_xlnm.Print_Titles" localSheetId="22">'9.1.1. sz. mell. '!$2:$5</definedName>
    <definedName name="_xlnm.Print_Titles" localSheetId="23">'9.1.2. sz. mell.'!$2:$5</definedName>
    <definedName name="_xlnm.Print_Titles" localSheetId="24">'9.2. sz. mell. '!$2:$5</definedName>
    <definedName name="_xlnm.Print_Titles" localSheetId="25">'9.2.1. sz. mell'!$2:$5</definedName>
    <definedName name="_xlnm.Print_Titles" localSheetId="26">'9.2.2. sz.  mell'!$2:$7</definedName>
    <definedName name="_xlnm.Print_Titles" localSheetId="27">'9.2.3. sz. mell.'!$2:$5</definedName>
    <definedName name="_xlnm.Print_Titles" localSheetId="28">'9.3. sz. mell'!$2:$5</definedName>
    <definedName name="_xlnm.Print_Titles" localSheetId="29">'9.3.1. sz. mell EOI'!$2:$5</definedName>
    <definedName name="_xlnm.Print_Titles" localSheetId="31">'9.4. sz. mell EKIK'!$2:$5</definedName>
    <definedName name="_xlnm.Print_Titles" localSheetId="32">'9.4.1. sz. mell EKIK'!$2:$5</definedName>
    <definedName name="_xlnm.Print_Titles" localSheetId="33">'9.4.2. sz. mell EKIK'!$2:$5</definedName>
    <definedName name="_xlnm.Print_Titles" localSheetId="34">'9.5. sz. mell VK'!$2:$5</definedName>
    <definedName name="_xlnm.Print_Titles" localSheetId="35">'9.5.1. sz. mell VK '!$2:$5</definedName>
    <definedName name="_xlnm.Print_Titles" localSheetId="36">'9.5.2. sz. mell VK'!$2:$7</definedName>
    <definedName name="_xlnm.Print_Titles" localSheetId="37">'9.6. sz. mell Kornisné Kp.'!$2:$5</definedName>
    <definedName name="_xlnm.Print_Titles" localSheetId="38">'9.6.1. sz. mell Kornisné Kp. '!$2:$5</definedName>
    <definedName name="_xlnm.Print_Titles" localSheetId="39">'9.6.2. sz. mell Kornisné Kp.'!$2:$5</definedName>
    <definedName name="_xlnm.Print_Titles" localSheetId="40">'9.6.3. sz. mell Kornisné Kp '!$2:$7</definedName>
    <definedName name="_xlnm.Print_Titles" localSheetId="41">'9.7. sz. mell TIB  '!$2:$5</definedName>
    <definedName name="_xlnm.Print_Titles" localSheetId="42">'9.7.1. sz. mell TIB  '!$2:$5</definedName>
    <definedName name="_xlnm.Print_Area" localSheetId="1">'1.1.sz.mell. '!$A$1:$C$164</definedName>
    <definedName name="_xlnm.Print_Area" localSheetId="2">'1.2.sz.mell. '!$A$1:$F$164</definedName>
    <definedName name="_xlnm.Print_Area" localSheetId="3">'1.3.sz.mell.'!$A$1:$C$164</definedName>
    <definedName name="_xlnm.Print_Area" localSheetId="4">'1.4.sz.mell. '!$A$1:$C$166</definedName>
    <definedName name="_xlnm.Print_Area" localSheetId="5">'1.5.sz.mell.'!$A$1:$C$166</definedName>
    <definedName name="_xlnm.Print_Area" localSheetId="46">'1.sz tájékoztató t '!$A$1:$H$157</definedName>
    <definedName name="_xlnm.Print_Area" localSheetId="6">'2.1.sz.mell '!$A$1:$F$33</definedName>
    <definedName name="_xlnm.Print_Area" localSheetId="50">'5.sz. tájékoztató'!$A$1:$D$51</definedName>
    <definedName name="_xlnm.Print_Area" localSheetId="12">'6.sz.mell.'!$A$1:$G$60</definedName>
    <definedName name="_xlnm.Print_Area" localSheetId="52">'7.sz táj. feladatos Önk. '!$A$1:$N$67</definedName>
    <definedName name="_xlnm.Print_Area" localSheetId="13">'7.sz.mell.'!$A$1:$G$29</definedName>
    <definedName name="_xlnm.Print_Area" localSheetId="16">'8.2. sz. mell.'!$A$1:$E$39</definedName>
    <definedName name="_xlnm.Print_Area" localSheetId="21">'9.1. sz. mell.'!$A$1:$C$157</definedName>
    <definedName name="_xlnm.Print_Area" localSheetId="22">'9.1.1. sz. mell. '!$A$1:$C$154</definedName>
    <definedName name="_xlnm.Print_Area" localSheetId="24">'9.2. sz. mell. '!$A:$C</definedName>
    <definedName name="_xlnm.Print_Area" localSheetId="43">'9.7.2. sz. mell TIB'!$A:$C</definedName>
    <definedName name="_xlnm.Print_Area" localSheetId="54">'9.sz tájékoztató'!$A$1:$E$31</definedName>
  </definedNames>
  <calcPr calcId="145621"/>
</workbook>
</file>

<file path=xl/calcChain.xml><?xml version="1.0" encoding="utf-8"?>
<calcChain xmlns="http://schemas.openxmlformats.org/spreadsheetml/2006/main">
  <c r="A1" i="1458" l="1"/>
  <c r="A1" i="1457"/>
  <c r="A1" i="1455"/>
  <c r="A1" i="1452"/>
  <c r="A1" i="1451"/>
  <c r="A1" i="1450"/>
  <c r="A1" i="1476"/>
  <c r="A1" i="1475"/>
  <c r="A1" i="1473"/>
  <c r="A1" i="1472"/>
  <c r="A1" i="1471"/>
  <c r="A1" i="1469"/>
  <c r="A1" i="1468"/>
  <c r="A1" i="1467"/>
  <c r="A1" i="1466"/>
  <c r="A1" i="1465"/>
  <c r="A1" i="1463"/>
  <c r="A1" i="1462"/>
  <c r="A1" i="1431"/>
  <c r="A1" i="1430"/>
  <c r="A1" i="1429"/>
  <c r="A1" i="1428"/>
  <c r="A1" i="1427"/>
  <c r="A1" i="1426"/>
  <c r="A1" i="1425"/>
  <c r="A1" i="1424"/>
  <c r="A1" i="1423"/>
  <c r="A1" i="1422"/>
  <c r="A1" i="1417"/>
  <c r="F2" i="1362"/>
  <c r="F1" i="1361"/>
  <c r="J51" i="1458" l="1"/>
  <c r="J34" i="1458"/>
  <c r="J17" i="1458"/>
  <c r="J44" i="1458"/>
  <c r="J11" i="1458"/>
  <c r="I11" i="1458"/>
  <c r="I36" i="1458"/>
  <c r="M64" i="1458" l="1"/>
  <c r="J36" i="1458" l="1"/>
  <c r="I33" i="1458"/>
  <c r="I34" i="1458"/>
  <c r="C13" i="1458"/>
  <c r="C63" i="1458"/>
  <c r="J24" i="1458"/>
  <c r="I24" i="1458"/>
  <c r="J21" i="1458"/>
  <c r="I21" i="1458"/>
  <c r="J19" i="1458"/>
  <c r="I19" i="1458"/>
  <c r="J31" i="1458"/>
  <c r="I31" i="1458"/>
  <c r="C11" i="1458"/>
  <c r="E22" i="1455"/>
  <c r="E20" i="1455"/>
  <c r="F102" i="1358"/>
  <c r="F102" i="1357"/>
  <c r="N26" i="1455" l="1"/>
  <c r="N24" i="1455"/>
  <c r="N23" i="1455"/>
  <c r="L23" i="1455"/>
  <c r="N22" i="1455"/>
  <c r="M22" i="1455"/>
  <c r="L22" i="1455"/>
  <c r="N20" i="1455"/>
  <c r="M20" i="1455"/>
  <c r="L20" i="1455"/>
  <c r="K20" i="1455"/>
  <c r="N19" i="1455"/>
  <c r="M19" i="1455"/>
  <c r="L19" i="1455"/>
  <c r="K19" i="1455"/>
  <c r="N18" i="1455"/>
  <c r="M18" i="1455"/>
  <c r="L18" i="1455"/>
  <c r="K18" i="1455"/>
  <c r="K13" i="1455"/>
  <c r="N11" i="1455"/>
  <c r="M11" i="1455"/>
  <c r="L11" i="1455"/>
  <c r="K11" i="1455"/>
  <c r="K9" i="1455"/>
  <c r="I8" i="1455"/>
  <c r="H8" i="1455"/>
  <c r="F8" i="1455"/>
  <c r="L7" i="1455"/>
  <c r="F7" i="1455"/>
  <c r="B28" i="1451"/>
  <c r="B11" i="1451"/>
  <c r="G14" i="1450"/>
  <c r="J12" i="1450"/>
  <c r="B12" i="1450"/>
  <c r="D13" i="1450"/>
  <c r="K10" i="1450"/>
  <c r="C10" i="1450" s="1"/>
  <c r="D10" i="1450" s="1"/>
  <c r="B10" i="1450"/>
  <c r="C40" i="1476"/>
  <c r="C46" i="1476"/>
  <c r="C40" i="1475"/>
  <c r="C46" i="1475"/>
  <c r="C40" i="1469"/>
  <c r="C46" i="1469"/>
  <c r="C46" i="1468"/>
  <c r="C40" i="1468"/>
  <c r="C40" i="1467"/>
  <c r="C52" i="1467"/>
  <c r="C40" i="1466"/>
  <c r="C48" i="1466"/>
  <c r="C52" i="1466"/>
  <c r="C40" i="1465"/>
  <c r="C52" i="1465"/>
  <c r="C48" i="1465"/>
  <c r="C28" i="1465"/>
  <c r="C46" i="1463"/>
  <c r="C45" i="1463"/>
  <c r="C44" i="1463"/>
  <c r="C45" i="1462"/>
  <c r="C44" i="1462"/>
  <c r="C43" i="1462"/>
  <c r="C48" i="1431"/>
  <c r="C40" i="1431"/>
  <c r="C40" i="1430"/>
  <c r="C48" i="1430"/>
  <c r="C115" i="1429"/>
  <c r="C96" i="1429"/>
  <c r="C117" i="1428"/>
  <c r="C116" i="1428"/>
  <c r="C115" i="1428"/>
  <c r="C114" i="1428"/>
  <c r="C112" i="1428"/>
  <c r="C111" i="1428"/>
  <c r="C109" i="1428"/>
  <c r="C95" i="1428"/>
  <c r="C94" i="1428"/>
  <c r="C93" i="1428"/>
  <c r="C58" i="1428"/>
  <c r="C41" i="1428"/>
  <c r="C21" i="1428"/>
  <c r="C14" i="1428"/>
  <c r="C113" i="1427"/>
  <c r="C112" i="1427"/>
  <c r="C118" i="1427"/>
  <c r="C117" i="1427"/>
  <c r="C116" i="1427"/>
  <c r="C115" i="1427"/>
  <c r="C110" i="1427"/>
  <c r="C96" i="1427"/>
  <c r="C95" i="1427"/>
  <c r="C94" i="1427"/>
  <c r="C58" i="1427"/>
  <c r="C41" i="1427"/>
  <c r="C21" i="1427"/>
  <c r="C14" i="1427"/>
  <c r="C19" i="1426"/>
  <c r="C41" i="1425"/>
  <c r="C30" i="1425"/>
  <c r="C39" i="1424"/>
  <c r="C37" i="1424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47" i="1419"/>
  <c r="B47" i="1419"/>
  <c r="F20" i="1419"/>
  <c r="B20" i="1419"/>
  <c r="F7" i="1419"/>
  <c r="E7" i="1419"/>
  <c r="D7" i="1419"/>
  <c r="B7" i="1419"/>
  <c r="F33" i="1419"/>
  <c r="B33" i="1419"/>
  <c r="B32" i="1419"/>
  <c r="B31" i="1419"/>
  <c r="F30" i="1419"/>
  <c r="E30" i="1419"/>
  <c r="F9" i="1419"/>
  <c r="B9" i="1419"/>
  <c r="C8" i="1417"/>
  <c r="D121" i="1359"/>
  <c r="D102" i="1359"/>
  <c r="D101" i="1359"/>
  <c r="D100" i="1359"/>
  <c r="D121" i="1358"/>
  <c r="D102" i="1358"/>
  <c r="D124" i="1358"/>
  <c r="D123" i="1358"/>
  <c r="D122" i="1358"/>
  <c r="D119" i="1358"/>
  <c r="D118" i="1358"/>
  <c r="D116" i="1358"/>
  <c r="D101" i="1358"/>
  <c r="D100" i="1358"/>
  <c r="D62" i="1358"/>
  <c r="D45" i="1358"/>
  <c r="D32" i="1358"/>
  <c r="D25" i="1358"/>
  <c r="D18" i="1358"/>
  <c r="D124" i="1357"/>
  <c r="D123" i="1357"/>
  <c r="D122" i="1357"/>
  <c r="D121" i="1357"/>
  <c r="D119" i="1357"/>
  <c r="D118" i="1357"/>
  <c r="D116" i="1357"/>
  <c r="D102" i="1357"/>
  <c r="D101" i="1357"/>
  <c r="D100" i="1357"/>
  <c r="D62" i="1357"/>
  <c r="D45" i="1357"/>
  <c r="D32" i="1357"/>
  <c r="D25" i="1357"/>
  <c r="D18" i="1357"/>
  <c r="C42" i="1422" l="1"/>
  <c r="C40" i="1422"/>
  <c r="G13" i="1450" l="1"/>
  <c r="F13" i="1450"/>
  <c r="E13" i="1450"/>
  <c r="C40" i="1473"/>
  <c r="C46" i="1473"/>
  <c r="C45" i="1473"/>
  <c r="C44" i="1473"/>
  <c r="C40" i="1471"/>
  <c r="C46" i="1471"/>
  <c r="C45" i="1471"/>
  <c r="C44" i="1471"/>
  <c r="D1" i="1478" l="1"/>
  <c r="A1" i="1456"/>
  <c r="A1" i="1433"/>
  <c r="C154" i="1428"/>
  <c r="C156" i="1427"/>
  <c r="I39" i="1458" l="1"/>
  <c r="C36" i="1458"/>
  <c r="I48" i="1458"/>
  <c r="I9" i="1458"/>
  <c r="I51" i="1458"/>
  <c r="D13" i="1458"/>
  <c r="J38" i="1458"/>
  <c r="N19" i="1458"/>
  <c r="H19" i="1458"/>
  <c r="N45" i="1458"/>
  <c r="H45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N8" i="1455"/>
  <c r="M8" i="1455"/>
  <c r="L8" i="1455"/>
  <c r="K8" i="1455"/>
  <c r="J8" i="1455"/>
  <c r="N7" i="1455"/>
  <c r="M7" i="1455"/>
  <c r="K7" i="1455"/>
  <c r="J7" i="1455"/>
  <c r="F10" i="1450"/>
  <c r="E10" i="1450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0" i="1463"/>
  <c r="C39" i="1462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24" i="1428"/>
  <c r="C95" i="1429"/>
  <c r="C94" i="1429"/>
  <c r="C21" i="1429"/>
  <c r="C11" i="1429"/>
  <c r="C40" i="1428"/>
  <c r="C43" i="1428"/>
  <c r="C12" i="1428"/>
  <c r="C11" i="1428"/>
  <c r="C9" i="1428"/>
  <c r="C40" i="1427"/>
  <c r="C43" i="1427"/>
  <c r="C24" i="1427"/>
  <c r="C12" i="1427"/>
  <c r="C11" i="1427"/>
  <c r="C9" i="1427"/>
  <c r="F16" i="1420" l="1"/>
  <c r="B16" i="1420"/>
  <c r="F23" i="1420"/>
  <c r="E29" i="1420"/>
  <c r="B54" i="1419" l="1"/>
  <c r="F54" i="1419"/>
  <c r="B30" i="1419"/>
  <c r="G27" i="1419"/>
  <c r="C19" i="1362"/>
  <c r="D43" i="1358"/>
  <c r="D107" i="1358"/>
  <c r="D105" i="1358"/>
  <c r="C103" i="1360"/>
  <c r="D25" i="1359"/>
  <c r="D15" i="1359"/>
  <c r="D52" i="1358"/>
  <c r="D47" i="1358"/>
  <c r="D44" i="1358"/>
  <c r="D16" i="1358"/>
  <c r="D15" i="1358"/>
  <c r="D13" i="1358"/>
  <c r="D47" i="1357"/>
  <c r="D52" i="1357"/>
  <c r="D44" i="1357"/>
  <c r="D43" i="1357"/>
  <c r="D16" i="1357"/>
  <c r="D15" i="1357"/>
  <c r="D13" i="1357"/>
  <c r="D105" i="1357"/>
  <c r="D107" i="1357"/>
  <c r="C98" i="1428"/>
  <c r="C100" i="1428"/>
  <c r="C99" i="1427"/>
  <c r="C101" i="1427"/>
  <c r="C50" i="1473" l="1"/>
  <c r="C40" i="1472"/>
  <c r="C13" i="1472"/>
  <c r="C9" i="1472"/>
  <c r="C38" i="1472"/>
  <c r="C46" i="1472"/>
  <c r="C9" i="1471"/>
  <c r="C10" i="1471"/>
  <c r="C13" i="1471"/>
  <c r="C50" i="1471"/>
  <c r="B13" i="1450"/>
  <c r="J13" i="1450"/>
  <c r="C56" i="1468" l="1"/>
  <c r="C56" i="1469"/>
  <c r="A1" i="1470"/>
  <c r="A1" i="1419" l="1"/>
  <c r="E27" i="1478"/>
  <c r="E29" i="1478" s="1"/>
  <c r="E26" i="1478"/>
  <c r="E28" i="1478" s="1"/>
  <c r="E31" i="1478" s="1"/>
  <c r="I44" i="1458"/>
  <c r="J49" i="1458"/>
  <c r="J60" i="1458"/>
  <c r="I60" i="1458"/>
  <c r="I12" i="1458"/>
  <c r="C34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46" i="1430"/>
  <c r="C39" i="1421"/>
  <c r="C28" i="1421"/>
  <c r="F18" i="1419"/>
  <c r="B18" i="1419"/>
  <c r="B10" i="1420"/>
  <c r="C102" i="1360"/>
  <c r="C101" i="1360"/>
  <c r="G28" i="1419" l="1"/>
  <c r="C110" i="1429" l="1"/>
  <c r="I64" i="1458" l="1"/>
  <c r="I13" i="1458" l="1"/>
  <c r="I58" i="1458"/>
  <c r="I56" i="1458"/>
  <c r="I55" i="1458"/>
  <c r="I53" i="1458"/>
  <c r="I46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F12" i="1450" l="1"/>
  <c r="E12" i="1450"/>
  <c r="C59" i="1466"/>
  <c r="C47" i="1466"/>
  <c r="C46" i="1466"/>
  <c r="C59" i="1465"/>
  <c r="C47" i="1465"/>
  <c r="C46" i="1465"/>
  <c r="F24" i="1419" l="1"/>
  <c r="B24" i="1419"/>
  <c r="C44" i="1429"/>
  <c r="C13" i="1428"/>
  <c r="C8" i="1428"/>
  <c r="C97" i="1427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4" i="1458" l="1"/>
  <c r="H55" i="1458"/>
  <c r="H56" i="1458"/>
  <c r="H57" i="1458"/>
  <c r="H58" i="1458"/>
  <c r="H59" i="1458"/>
  <c r="N54" i="1458"/>
  <c r="K23" i="1455"/>
  <c r="I20" i="1455"/>
  <c r="H20" i="1455"/>
  <c r="H19" i="1455"/>
  <c r="H18" i="1455"/>
  <c r="G18" i="1455"/>
  <c r="F18" i="1455"/>
  <c r="E18" i="1455"/>
  <c r="D18" i="1455"/>
  <c r="C18" i="1455"/>
  <c r="M9" i="1455"/>
  <c r="G9" i="1455"/>
  <c r="F9" i="1455"/>
  <c r="E9" i="1455"/>
  <c r="D9" i="1455"/>
  <c r="C9" i="1455"/>
  <c r="G8" i="1455"/>
  <c r="E8" i="1455"/>
  <c r="D8" i="1455"/>
  <c r="C8" i="1455"/>
  <c r="B13" i="1451"/>
  <c r="C28" i="1429"/>
  <c r="C28" i="1427"/>
  <c r="D32" i="1359"/>
  <c r="D67" i="1358"/>
  <c r="D67" i="1357"/>
  <c r="F52" i="1419" l="1"/>
  <c r="B52" i="1419"/>
  <c r="F58" i="1419"/>
  <c r="B58" i="1419"/>
  <c r="B14" i="1450" l="1"/>
  <c r="J14" i="1450"/>
  <c r="C50" i="1476" l="1"/>
  <c r="C35" i="1476"/>
  <c r="C50" i="1475"/>
  <c r="C35" i="1475"/>
  <c r="C28" i="1471"/>
  <c r="C22" i="1471"/>
  <c r="C28" i="1473"/>
  <c r="C22" i="1473"/>
  <c r="C10" i="1466"/>
  <c r="C10" i="1465"/>
  <c r="A1" i="1421" l="1"/>
  <c r="A1" i="1420"/>
  <c r="A1" i="1360"/>
  <c r="A1" i="1359"/>
  <c r="A1" i="1358"/>
  <c r="A1" i="1357"/>
  <c r="N61" i="1458"/>
  <c r="N60" i="1458"/>
  <c r="N59" i="1458"/>
  <c r="N58" i="1458"/>
  <c r="N57" i="1458"/>
  <c r="N56" i="1458"/>
  <c r="N55" i="1458"/>
  <c r="N53" i="1458" l="1"/>
  <c r="H53" i="1458"/>
  <c r="N46" i="1458"/>
  <c r="H46" i="1458"/>
  <c r="C56" i="1463" l="1"/>
  <c r="C55" i="1462"/>
  <c r="F24" i="1455" l="1"/>
  <c r="G19" i="1455"/>
  <c r="G13" i="1455"/>
  <c r="G7" i="1455"/>
  <c r="F56" i="1419" l="1"/>
  <c r="B56" i="1419"/>
  <c r="F28" i="1420"/>
  <c r="B11" i="1450"/>
  <c r="J11" i="1450"/>
  <c r="C51" i="1463"/>
  <c r="C50" i="1462"/>
  <c r="F64" i="1458" l="1"/>
  <c r="L15" i="1455"/>
  <c r="I27" i="1453"/>
  <c r="C67" i="1428"/>
  <c r="C67" i="1427"/>
  <c r="D71" i="1358"/>
  <c r="D71" i="1357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C20" i="1422"/>
  <c r="B20" i="1422"/>
  <c r="C19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C49" i="1476"/>
  <c r="E49" i="1475" s="1"/>
  <c r="C45" i="1476"/>
  <c r="E45" i="1475" s="1"/>
  <c r="C44" i="1476"/>
  <c r="C37" i="1476"/>
  <c r="E37" i="1475" s="1"/>
  <c r="C30" i="1476"/>
  <c r="E30" i="1475" s="1"/>
  <c r="C25" i="1476"/>
  <c r="E25" i="1475" s="1"/>
  <c r="C19" i="1476"/>
  <c r="E19" i="1475" s="1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C45" i="1475"/>
  <c r="C44" i="1475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E7" i="1475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36" i="1471" s="1"/>
  <c r="C53" i="1470"/>
  <c r="C47" i="1470"/>
  <c r="C59" i="1470" s="1"/>
  <c r="C39" i="1470"/>
  <c r="C32" i="1470"/>
  <c r="C27" i="1470"/>
  <c r="C21" i="1470"/>
  <c r="C9" i="1470"/>
  <c r="C51" i="1469"/>
  <c r="C43" i="1469"/>
  <c r="E43" i="1468" s="1"/>
  <c r="C37" i="1469"/>
  <c r="C30" i="1469"/>
  <c r="C25" i="1469"/>
  <c r="E25" i="1468" s="1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E36" i="1462" s="1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1" i="1419"/>
  <c r="G57" i="1419"/>
  <c r="F53" i="1419"/>
  <c r="B53" i="1419"/>
  <c r="G52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/>
  <c r="F14" i="1357"/>
  <c r="F11" i="1357" s="1"/>
  <c r="E7" i="1465" l="1"/>
  <c r="E25" i="1465"/>
  <c r="F25" i="1465" s="1"/>
  <c r="E51" i="1465"/>
  <c r="E37" i="1465"/>
  <c r="F37" i="1465" s="1"/>
  <c r="E30" i="1465"/>
  <c r="E35" i="1461"/>
  <c r="E30" i="1468"/>
  <c r="B15" i="1426"/>
  <c r="E7" i="1468"/>
  <c r="E37" i="1468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F25" i="1468"/>
  <c r="F30" i="1468"/>
  <c r="C36" i="1469"/>
  <c r="C38" i="1470"/>
  <c r="C43" i="1470" s="1"/>
  <c r="C38" i="1474"/>
  <c r="C43" i="1474" s="1"/>
  <c r="F25" i="1475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55" i="1468" s="1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30" i="1465"/>
  <c r="F51" i="1465"/>
  <c r="C36" i="1466"/>
  <c r="C57" i="1467"/>
  <c r="E57" i="1465" s="1"/>
  <c r="F37" i="1468"/>
  <c r="C36" i="1472"/>
  <c r="E36" i="1471" s="1"/>
  <c r="F36" i="1471" s="1"/>
  <c r="C59" i="1474"/>
  <c r="F19" i="1475"/>
  <c r="F49" i="1475"/>
  <c r="C36" i="1476"/>
  <c r="E36" i="1475" s="1"/>
  <c r="C38" i="1477"/>
  <c r="E28" i="1421"/>
  <c r="E35" i="1421" s="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E35" i="1462"/>
  <c r="F35" i="1462" s="1"/>
  <c r="C55" i="1463"/>
  <c r="E42" i="1462"/>
  <c r="C36" i="1462"/>
  <c r="F36" i="1462" s="1"/>
  <c r="F7" i="1465"/>
  <c r="C41" i="1471"/>
  <c r="C41" i="1472"/>
  <c r="C57" i="1465"/>
  <c r="C41" i="1469"/>
  <c r="C43" i="1477"/>
  <c r="E40" i="1475" s="1"/>
  <c r="F40" i="1475" s="1"/>
  <c r="E35" i="1475"/>
  <c r="F35" i="1475" s="1"/>
  <c r="F43" i="1468"/>
  <c r="C55" i="1471"/>
  <c r="F7" i="1475"/>
  <c r="F7" i="1468"/>
  <c r="F94" i="1357" l="1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N15" i="1455"/>
  <c r="I13" i="1455"/>
  <c r="K66" i="1458"/>
  <c r="E63" i="1458"/>
  <c r="C48" i="1427"/>
  <c r="C48" i="1428"/>
  <c r="N14" i="1458"/>
  <c r="H14" i="1458"/>
  <c r="D11" i="1458"/>
  <c r="D28" i="1453" l="1"/>
  <c r="D57" i="1452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C92" i="1452" s="1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157" i="1452" l="1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18" i="1419" l="1"/>
  <c r="D33" i="1357" l="1"/>
  <c r="D26" i="1357"/>
  <c r="D14" i="1357"/>
  <c r="D14" i="1456"/>
  <c r="D40" i="1456"/>
  <c r="D37" i="1456"/>
  <c r="D41" i="1456" s="1"/>
  <c r="D20" i="1456"/>
  <c r="D51" i="1456" l="1"/>
  <c r="A1" i="1459"/>
  <c r="A1" i="1454"/>
  <c r="A1" i="1453"/>
  <c r="A1" i="1432"/>
  <c r="A1" i="1461"/>
  <c r="B17" i="1421" l="1"/>
  <c r="A1" i="1418" l="1"/>
  <c r="A1" i="1416"/>
  <c r="A1" i="1399"/>
  <c r="C27" i="1416"/>
  <c r="D27" i="1416"/>
  <c r="E27" i="1416"/>
  <c r="F27" i="1416"/>
  <c r="G27" i="1416"/>
  <c r="D125" i="1357" l="1"/>
  <c r="N47" i="1458" l="1"/>
  <c r="H47" i="1458"/>
  <c r="N37" i="1458"/>
  <c r="H37" i="1458"/>
  <c r="G17" i="1420"/>
  <c r="G50" i="1419"/>
  <c r="G48" i="1419"/>
  <c r="G47" i="1419"/>
  <c r="G45" i="1419"/>
  <c r="G43" i="1419"/>
  <c r="G39" i="1419"/>
  <c r="G37" i="1419"/>
  <c r="G36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5" i="1419" l="1"/>
  <c r="G18" i="1420" l="1"/>
  <c r="G15" i="1420"/>
  <c r="E23" i="1419"/>
  <c r="E60" i="1419" l="1"/>
  <c r="G23" i="1419"/>
  <c r="D41" i="1357" l="1"/>
  <c r="G46" i="1419" l="1"/>
  <c r="N51" i="1458"/>
  <c r="H51" i="1458"/>
  <c r="D22" i="1457"/>
  <c r="D29" i="1457" s="1"/>
  <c r="G28" i="1453"/>
  <c r="F28" i="1453"/>
  <c r="E28" i="1453"/>
  <c r="I26" i="1453"/>
  <c r="B10" i="1419"/>
  <c r="G10" i="1419" s="1"/>
  <c r="H26" i="1416"/>
  <c r="H25" i="1416"/>
  <c r="H28" i="1453" l="1"/>
  <c r="F51" i="1419" l="1"/>
  <c r="B51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29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6" i="1458"/>
  <c r="M65" i="1458"/>
  <c r="M67" i="1458" s="1"/>
  <c r="L65" i="1458"/>
  <c r="L67" i="1458" s="1"/>
  <c r="K65" i="1458"/>
  <c r="F65" i="1458"/>
  <c r="F67" i="1458" s="1"/>
  <c r="N64" i="1458"/>
  <c r="H64" i="1458"/>
  <c r="N63" i="1458"/>
  <c r="H61" i="1458"/>
  <c r="H60" i="1458"/>
  <c r="N49" i="1458"/>
  <c r="H49" i="1458"/>
  <c r="N48" i="1458"/>
  <c r="H48" i="1458"/>
  <c r="N44" i="1458"/>
  <c r="H44" i="1458"/>
  <c r="N42" i="1458"/>
  <c r="H42" i="1458"/>
  <c r="H41" i="1458"/>
  <c r="N40" i="1458"/>
  <c r="H40" i="1458"/>
  <c r="N39" i="1458"/>
  <c r="H39" i="1458"/>
  <c r="N38" i="1458"/>
  <c r="H38" i="1458"/>
  <c r="N36" i="1458"/>
  <c r="H36" i="1458"/>
  <c r="N34" i="1458"/>
  <c r="H34" i="1458"/>
  <c r="N33" i="1458"/>
  <c r="H33" i="1458"/>
  <c r="N32" i="1458"/>
  <c r="H32" i="1458"/>
  <c r="H31" i="1458"/>
  <c r="N29" i="1458"/>
  <c r="H29" i="1458"/>
  <c r="N28" i="1458"/>
  <c r="H28" i="1458"/>
  <c r="N27" i="1458"/>
  <c r="H27" i="1458"/>
  <c r="N26" i="1458"/>
  <c r="H26" i="1458"/>
  <c r="N24" i="1458"/>
  <c r="H24" i="1458"/>
  <c r="J65" i="1458"/>
  <c r="J67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5" i="1458"/>
  <c r="G67" i="1458" s="1"/>
  <c r="H13" i="1458"/>
  <c r="N12" i="1458"/>
  <c r="H12" i="1458"/>
  <c r="N11" i="1458"/>
  <c r="D65" i="1458"/>
  <c r="D67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69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69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69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56" i="1419"/>
  <c r="D51" i="1419"/>
  <c r="G51" i="1419" s="1"/>
  <c r="F42" i="1419"/>
  <c r="D42" i="1419"/>
  <c r="B42" i="1419"/>
  <c r="F40" i="1419"/>
  <c r="D40" i="1419"/>
  <c r="B40" i="1419"/>
  <c r="F38" i="1419"/>
  <c r="B38" i="1419"/>
  <c r="F34" i="1419"/>
  <c r="B34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J117" i="1452" l="1"/>
  <c r="I117" i="1452"/>
  <c r="G42" i="1419"/>
  <c r="G56" i="1419"/>
  <c r="G9" i="1419"/>
  <c r="G34" i="1419"/>
  <c r="G38" i="1419"/>
  <c r="G40" i="1419"/>
  <c r="D140" i="1427"/>
  <c r="D110" i="1427"/>
  <c r="F110" i="1427" s="1"/>
  <c r="F16" i="1455"/>
  <c r="D40" i="1430"/>
  <c r="E40" i="1430" s="1"/>
  <c r="F13" i="1427"/>
  <c r="E9" i="1427"/>
  <c r="B29" i="1420"/>
  <c r="D76" i="1427"/>
  <c r="F76" i="1427" s="1"/>
  <c r="D23" i="1427"/>
  <c r="E23" i="1427" s="1"/>
  <c r="C45" i="1431"/>
  <c r="C57" i="1431" s="1"/>
  <c r="C45" i="1433"/>
  <c r="C57" i="1433" s="1"/>
  <c r="F29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5" i="1458"/>
  <c r="I67" i="1458" s="1"/>
  <c r="B59" i="1419"/>
  <c r="E13" i="1421"/>
  <c r="F8" i="1427"/>
  <c r="D69" i="1458"/>
  <c r="D68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69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I28" i="1453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H27" i="1416" s="1"/>
  <c r="F59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59" i="1419"/>
  <c r="D60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69" i="1458"/>
  <c r="G68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1" i="1458"/>
  <c r="K67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68" i="1458"/>
  <c r="L68" i="1458"/>
  <c r="E16" i="1450"/>
  <c r="K15" i="1450"/>
  <c r="O15" i="1455"/>
  <c r="O18" i="1455"/>
  <c r="N31" i="1458"/>
  <c r="F40" i="1459"/>
  <c r="G67" i="1452"/>
  <c r="C28" i="1455"/>
  <c r="M68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5" i="1458"/>
  <c r="C67" i="1458" s="1"/>
  <c r="H9" i="1458"/>
  <c r="H11" i="1458"/>
  <c r="N20" i="1458"/>
  <c r="E65" i="1458"/>
  <c r="E67" i="1458" s="1"/>
  <c r="H63" i="1458"/>
  <c r="E76" i="1427" l="1"/>
  <c r="N65" i="1458"/>
  <c r="N67" i="1458" s="1"/>
  <c r="G59" i="1419"/>
  <c r="E110" i="1427"/>
  <c r="F29" i="1455"/>
  <c r="F23" i="1427"/>
  <c r="D45" i="1430"/>
  <c r="E45" i="1430" s="1"/>
  <c r="E68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69" i="1458" s="1"/>
  <c r="K68" i="1458" s="1"/>
  <c r="E16" i="1427"/>
  <c r="G39" i="1423"/>
  <c r="E30" i="1427"/>
  <c r="E7" i="1427"/>
  <c r="F7" i="1427"/>
  <c r="B60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0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5" i="1458"/>
  <c r="H67" i="1458" s="1"/>
  <c r="O28" i="1455"/>
  <c r="C29" i="1455"/>
  <c r="K16" i="1450"/>
  <c r="C57" i="1430"/>
  <c r="E37" i="1427"/>
  <c r="F37" i="1427"/>
  <c r="I69" i="1458"/>
  <c r="C69" i="1458"/>
  <c r="H69" i="1458" s="1"/>
  <c r="O29" i="1455" l="1"/>
  <c r="D15" i="1450"/>
  <c r="D16" i="1450" s="1"/>
  <c r="G60" i="1419"/>
  <c r="F89" i="1427"/>
  <c r="E89" i="1427"/>
  <c r="E98" i="1427"/>
  <c r="D90" i="1427"/>
  <c r="D65" i="1427"/>
  <c r="E65" i="1427" s="1"/>
  <c r="F10" i="1427"/>
  <c r="E10" i="1427"/>
  <c r="E57" i="1430"/>
  <c r="E41" i="1430"/>
  <c r="I68" i="1458"/>
  <c r="E153" i="1427"/>
  <c r="F153" i="1427"/>
  <c r="C68" i="1458"/>
  <c r="H68" i="1458"/>
  <c r="E93" i="1427"/>
  <c r="F93" i="1427"/>
  <c r="J69" i="1458"/>
  <c r="J68" i="1458" s="1"/>
  <c r="E114" i="1427"/>
  <c r="F114" i="1427"/>
  <c r="O65" i="1458"/>
  <c r="F65" i="1427" l="1"/>
  <c r="F128" i="1427"/>
  <c r="E128" i="1427"/>
  <c r="F90" i="1427"/>
  <c r="E90" i="1427"/>
  <c r="N69" i="1458"/>
  <c r="N68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H136" i="1357"/>
  <c r="H138" i="1357"/>
  <c r="I138" i="1357" s="1"/>
  <c r="H141" i="1357"/>
  <c r="H143" i="1357"/>
  <c r="I143" i="1357" s="1"/>
  <c r="H145" i="1357"/>
  <c r="H148" i="1357"/>
  <c r="I148" i="1357" s="1"/>
  <c r="H150" i="1357"/>
  <c r="H153" i="1357"/>
  <c r="I153" i="1357" s="1"/>
  <c r="H155" i="1357"/>
  <c r="H157" i="1357"/>
  <c r="I157" i="1357" s="1"/>
  <c r="H44" i="1357"/>
  <c r="H48" i="1357"/>
  <c r="I48" i="1357" s="1"/>
  <c r="H52" i="1357"/>
  <c r="I52" i="1357" s="1"/>
  <c r="H55" i="1357"/>
  <c r="I55" i="1357" s="1"/>
  <c r="H73" i="1357"/>
  <c r="I73" i="1357" s="1"/>
  <c r="H76" i="1357"/>
  <c r="H89" i="1357"/>
  <c r="I89" i="1357" s="1"/>
  <c r="E134" i="1358"/>
  <c r="H137" i="1357"/>
  <c r="H140" i="1357"/>
  <c r="I140" i="1357" s="1"/>
  <c r="H142" i="1357"/>
  <c r="H144" i="1357"/>
  <c r="I144" i="1357" s="1"/>
  <c r="H147" i="1357"/>
  <c r="H149" i="1357"/>
  <c r="H152" i="1357"/>
  <c r="H154" i="1357"/>
  <c r="I154" i="1357" s="1"/>
  <c r="H156" i="1357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1" i="1419"/>
  <c r="F62" i="1419" s="1"/>
  <c r="H120" i="1452"/>
  <c r="P24" i="1455"/>
  <c r="Q24" i="1455" s="1"/>
  <c r="F30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76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I46" i="1357"/>
  <c r="D93" i="1357"/>
  <c r="C53" i="1359"/>
  <c r="I44" i="1357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I91" i="1357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I149" i="1357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1" i="1357"/>
  <c r="I142" i="1357"/>
  <c r="I145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47" i="1357"/>
  <c r="I150" i="1357"/>
  <c r="I152" i="1357"/>
  <c r="I156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<sst xmlns="http://schemas.openxmlformats.org/spreadsheetml/2006/main" count="6423" uniqueCount="1084">
  <si>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</si>
  <si>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</si>
  <si>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</si>
  <si>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</si>
  <si>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</si>
  <si>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</si>
  <si>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</si>
  <si>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</si>
  <si>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</si>
  <si>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</si>
  <si>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</si>
  <si>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</si>
  <si>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</si>
  <si>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</si>
  <si>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</si>
  <si>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</si>
  <si>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</si>
  <si>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</si>
  <si>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</si>
  <si>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</si>
  <si>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</si>
  <si>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</si>
  <si>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</si>
  <si>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</si>
  <si>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</si>
  <si>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</si>
  <si>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</si>
  <si>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</si>
  <si>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</si>
  <si>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</si>
  <si>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</si>
  <si>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</si>
  <si>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</si>
  <si>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</si>
  <si>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</si>
  <si>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</si>
  <si>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</si>
  <si>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</si>
  <si>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</si>
  <si>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</si>
  <si>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</si>
  <si>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</si>
  <si>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</si>
  <si>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</si>
  <si>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</si>
  <si>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</si>
  <si>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</si>
  <si>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</si>
  <si>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</si>
  <si>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</si>
  <si>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</si>
  <si>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</si>
  <si>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</si>
  <si>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</si>
  <si>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</si>
  <si>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</si>
  <si>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</si>
  <si>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</si>
  <si>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</si>
  <si>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</si>
  <si>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</si>
  <si>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</si>
  <si>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</si>
  <si>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</si>
  <si>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</si>
  <si>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</si>
  <si>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</si>
  <si>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</si>
  <si>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</si>
  <si>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</si>
  <si>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</si>
  <si>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</si>
  <si>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</si>
  <si>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</si>
  <si>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</si>
  <si>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</si>
  <si>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</si>
  <si>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</si>
  <si>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</si>
  <si>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</si>
  <si>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</si>
  <si>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</si>
  <si>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</si>
  <si>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</si>
  <si>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</si>
  <si>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</si>
  <si>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</si>
  <si>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</si>
  <si>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</si>
  <si>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</si>
  <si>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</si>
  <si>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</si>
  <si>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</si>
  <si>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</si>
  <si>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</si>
  <si>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</si>
  <si>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</si>
  <si>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</si>
  <si>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</si>
  <si>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</si>
  <si>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</si>
  <si>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</si>
  <si>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</si>
  <si>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</si>
  <si>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</si>
  <si>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</si>
  <si>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</si>
  <si>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</si>
  <si>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</si>
  <si>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</si>
  <si>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</si>
  <si>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</si>
  <si>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</si>
  <si>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</si>
  <si>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</si>
  <si>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</si>
  <si>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</si>
  <si>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</si>
  <si>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</si>
  <si>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</si>
  <si>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</si>
  <si>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</si>
  <si>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</si>
  <si>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</si>
  <si>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</si>
  <si>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</si>
  <si>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</si>
  <si>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</si>
  <si>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</si>
  <si>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</si>
  <si>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</si>
  <si>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</si>
  <si>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</si>
  <si>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</si>
  <si>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</si>
  <si>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</si>
  <si>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</si>
  <si>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</si>
  <si>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</si>
  <si>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</si>
  <si>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</si>
  <si>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</si>
  <si>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</si>
  <si>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</si>
  <si>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</si>
  <si>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</si>
  <si>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</si>
  <si>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</si>
  <si>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</si>
  <si>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</si>
  <si>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</si>
  <si>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</si>
  <si>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</si>
  <si>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</si>
  <si>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</si>
  <si>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</si>
  <si>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</si>
  <si>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</si>
  <si>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</si>
  <si>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</si>
  <si>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</si>
  <si>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</si>
  <si>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</si>
  <si>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</si>
  <si>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</si>
  <si>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</si>
  <si>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</si>
  <si>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</si>
  <si>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</si>
  <si>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</si>
  <si>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</si>
  <si>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</si>
  <si>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</si>
  <si>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</si>
  <si>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</si>
  <si>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</si>
  <si>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</si>
  <si>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</si>
  <si>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</si>
  <si>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</si>
  <si>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</si>
  <si>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</si>
  <si>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</si>
  <si>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</si>
  <si>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</si>
  <si>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</si>
  <si>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</si>
  <si>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</si>
  <si>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</si>
  <si>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</si>
  <si>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</si>
  <si>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</si>
  <si>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</si>
  <si>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</si>
  <si>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</si>
  <si>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</si>
  <si>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</si>
  <si>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</si>
  <si>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</si>
  <si>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</si>
  <si>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</si>
  <si>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</si>
  <si>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</si>
  <si>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</si>
  <si>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</si>
  <si>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</si>
  <si>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</si>
  <si>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</si>
  <si>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</si>
  <si>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</si>
  <si>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</si>
  <si>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</si>
  <si>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</si>
  <si>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</si>
  <si>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</si>
  <si>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</si>
  <si>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</si>
  <si>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</si>
  <si>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</si>
  <si>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</si>
  <si>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</si>
  <si>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</si>
  <si>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</si>
  <si>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</si>
  <si>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</si>
  <si>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</si>
  <si>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</si>
  <si>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</si>
  <si>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</si>
  <si>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</si>
  <si>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</si>
  <si>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</si>
  <si>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</si>
  <si>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</si>
  <si>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</si>
  <si>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</si>
  <si>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</si>
  <si>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</si>
  <si>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</si>
  <si>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</si>
  <si>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</si>
  <si>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</si>
  <si>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</si>
  <si>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</si>
  <si>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</si>
  <si>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</si>
  <si>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</si>
  <si>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</si>
  <si>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</si>
  <si>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</si>
  <si>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</si>
  <si>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</si>
  <si>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</si>
  <si>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</si>
  <si>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</si>
  <si>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</si>
  <si>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</si>
  <si>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</si>
  <si>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</si>
  <si>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</si>
  <si>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</si>
  <si>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</si>
  <si>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</si>
  <si>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</si>
  <si>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</si>
  <si>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</si>
  <si>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</si>
  <si>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</si>
  <si>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</si>
  <si>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</si>
  <si>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</si>
  <si>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</si>
  <si>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</si>
  <si>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</si>
  <si>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</si>
  <si>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</si>
  <si>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</si>
  <si>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</si>
  <si>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</si>
  <si>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</si>
  <si>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</si>
  <si>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</si>
  <si>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</si>
  <si>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</si>
  <si>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</si>
  <si>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</si>
  <si>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</si>
  <si>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</si>
  <si>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</si>
  <si>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</si>
  <si>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</si>
  <si>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</si>
  <si>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</si>
  <si>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</si>
  <si>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</si>
  <si>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</si>
  <si>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</si>
  <si>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</si>
  <si>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</si>
  <si>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</si>
  <si>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</si>
  <si>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</si>
  <si>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</si>
  <si>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</si>
  <si>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</si>
  <si>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</si>
  <si>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</si>
  <si>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</si>
  <si>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</si>
  <si>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</si>
  <si>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</si>
  <si>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</si>
  <si>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</si>
  <si>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</si>
  <si>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</si>
  <si>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</si>
  <si>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</si>
  <si>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</si>
  <si>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</si>
  <si>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</si>
  <si>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</si>
  <si>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</si>
  <si>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</si>
  <si>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</si>
  <si>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</si>
  <si>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</si>
  <si>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</si>
  <si>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</si>
  <si>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</si>
  <si>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</si>
  <si>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</si>
  <si>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</si>
  <si>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</si>
  <si>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</si>
  <si>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</si>
  <si>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</si>
  <si>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</si>
  <si>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</si>
  <si>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</si>
  <si>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</si>
  <si>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</si>
  <si>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</si>
  <si>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</si>
  <si>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</si>
  <si>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</si>
  <si>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</si>
  <si>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</si>
  <si>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</si>
  <si>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</si>
  <si>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</si>
  <si>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</si>
  <si>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</si>
  <si>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</si>
  <si>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</si>
  <si>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</si>
  <si>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</si>
  <si>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</si>
  <si>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</si>
  <si>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</si>
  <si>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</si>
  <si>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</si>
  <si>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</si>
  <si>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</si>
  <si>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</si>
  <si>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</si>
  <si>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</si>
  <si>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</si>
  <si>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</si>
  <si>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</si>
  <si>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</si>
  <si>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</si>
  <si>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</si>
  <si>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</si>
  <si>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</si>
  <si>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</si>
  <si>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</si>
  <si>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</si>
  <si>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</si>
  <si>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</si>
  <si>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</si>
  <si>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</si>
  <si>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</si>
  <si>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</si>
  <si>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</si>
  <si>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</si>
  <si>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</si>
  <si>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</si>
  <si>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</si>
  <si>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</si>
  <si>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</si>
  <si>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</si>
  <si>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</si>
  <si>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</si>
  <si>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</si>
  <si>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</si>
  <si>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</si>
  <si>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</si>
  <si>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</si>
  <si>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</si>
  <si>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</si>
  <si>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</si>
  <si>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</si>
  <si>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</si>
  <si>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</si>
  <si>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</si>
  <si>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</si>
  <si>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</si>
  <si>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</si>
  <si>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</si>
  <si>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</si>
  <si>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</si>
  <si>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</si>
  <si>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</si>
  <si>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</si>
  <si>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</si>
  <si>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</si>
  <si>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</si>
  <si>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</si>
  <si>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</si>
  <si>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</si>
  <si>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</si>
  <si>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</si>
  <si>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</si>
  <si>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</si>
  <si>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</si>
  <si>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</si>
  <si>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</si>
  <si>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</si>
  <si>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</si>
  <si>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</si>
  <si>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</si>
  <si>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</si>
  <si>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</si>
  <si>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</si>
  <si>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</si>
  <si>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</si>
  <si>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</si>
  <si>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</si>
  <si>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</si>
  <si>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</si>
  <si>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</si>
  <si>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</si>
  <si>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</si>
  <si>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</si>
  <si>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</si>
  <si>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</si>
  <si>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</si>
  <si>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</si>
  <si>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</si>
  <si>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</si>
  <si>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</si>
  <si>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</si>
  <si>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</si>
  <si>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</si>
  <si>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</si>
  <si>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</si>
  <si>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</si>
  <si>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</si>
  <si>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</si>
  <si>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</si>
  <si>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</si>
  <si>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</si>
  <si>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</si>
  <si>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</si>
  <si>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</si>
  <si>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</si>
  <si>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</si>
  <si>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</si>
  <si>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</si>
  <si>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</si>
  <si>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</si>
  <si>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</si>
  <si>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</si>
  <si>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</si>
  <si>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</si>
  <si>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</si>
  <si>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</si>
  <si>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</si>
  <si>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</si>
  <si>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</si>
  <si>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</si>
  <si>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</si>
  <si>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</si>
  <si>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</si>
  <si>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</si>
  <si>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</si>
  <si>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</si>
  <si>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</si>
  <si>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</si>
  <si>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</si>
  <si>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</si>
  <si>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</si>
  <si>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</si>
  <si>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</si>
  <si>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</si>
  <si>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</si>
  <si>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</si>
  <si>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</si>
  <si>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</si>
  <si>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</si>
  <si>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</si>
  <si>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</si>
  <si>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</si>
  <si>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</si>
  <si>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</si>
  <si>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</si>
  <si>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</si>
  <si>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</si>
  <si>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</si>
  <si>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</si>
  <si>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</si>
  <si>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</si>
  <si>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</si>
  <si>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</si>
  <si>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</si>
  <si>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</si>
  <si>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</si>
  <si>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</si>
  <si>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</si>
  <si>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</si>
  <si>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</si>
  <si>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</si>
  <si>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</si>
  <si>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</si>
  <si>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</si>
  <si>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</si>
  <si>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</si>
  <si>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</si>
  <si>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</si>
  <si>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</si>
  <si>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</si>
  <si>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</si>
  <si>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</si>
  <si>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</si>
  <si>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</si>
  <si>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</si>
  <si>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</si>
  <si>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</si>
  <si>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</si>
  <si>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</si>
  <si>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</si>
  <si>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</si>
  <si>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</si>
  <si>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</si>
  <si>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</si>
  <si>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</si>
  <si>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</si>
  <si>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</si>
  <si>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</si>
  <si>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</si>
  <si>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</si>
  <si>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</si>
  <si>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</si>
  <si>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</si>
  <si>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</si>
  <si>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</si>
  <si>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</si>
  <si>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</si>
  <si>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</si>
  <si>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</si>
  <si>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</si>
  <si>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</si>
  <si>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</si>
  <si>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</si>
  <si>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</si>
  <si>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</si>
  <si>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</si>
  <si>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</si>
  <si>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</si>
  <si>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</si>
  <si>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</si>
  <si>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</si>
  <si>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</si>
  <si>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</si>
  <si>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</si>
  <si>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</si>
  <si>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</si>
  <si>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</si>
  <si>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</si>
  <si>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</si>
  <si>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</si>
  <si>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</si>
  <si>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</si>
  <si>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</si>
  <si>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</si>
  <si>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</si>
  <si>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</si>
  <si>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</si>
  <si>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</si>
  <si>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</si>
  <si>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</si>
  <si>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</si>
  <si>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</si>
  <si>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</si>
  <si>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</si>
  <si>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</si>
  <si>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</si>
  <si>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</si>
  <si>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</si>
  <si>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</si>
  <si>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</si>
  <si>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</si>
  <si>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</si>
  <si>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</si>
  <si>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</si>
  <si>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</si>
  <si>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</si>
  <si>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</si>
  <si>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</si>
  <si>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</si>
  <si>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</si>
  <si>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</si>
  <si>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</si>
  <si>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</si>
  <si>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</si>
  <si>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</si>
  <si>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</si>
  <si>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</si>
  <si>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</si>
  <si>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</si>
  <si>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</si>
  <si>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</si>
  <si>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</si>
  <si>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</si>
  <si>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</si>
  <si>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</si>
  <si>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</si>
  <si>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</si>
  <si>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</si>
  <si>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</si>
  <si>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</si>
  <si>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</si>
  <si>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</si>
  <si>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</si>
  <si>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</si>
  <si>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</si>
  <si>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</si>
  <si>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</si>
  <si>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</si>
  <si>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</si>
  <si>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</si>
  <si>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</si>
  <si>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</si>
  <si>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</si>
  <si>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</si>
  <si>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</si>
  <si>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</si>
  <si>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</si>
  <si>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</si>
  <si>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</si>
  <si>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</si>
  <si>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</si>
  <si>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</si>
  <si>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</si>
  <si>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</si>
  <si>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</si>
  <si>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</si>
  <si>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</si>
  <si>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</si>
  <si>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</si>
  <si>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</si>
  <si>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</si>
  <si>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</si>
  <si>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</si>
  <si>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</si>
  <si>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</si>
  <si>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</si>
  <si>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</si>
  <si>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</si>
  <si>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</si>
  <si>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</si>
  <si>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</si>
  <si>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</si>
  <si>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</si>
  <si>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</si>
  <si>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</si>
  <si>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</si>
  <si>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</si>
  <si>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</si>
  <si>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</si>
  <si>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</si>
  <si>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</si>
  <si>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</si>
  <si>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</si>
  <si>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</si>
  <si>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</si>
  <si>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</si>
  <si>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</si>
  <si>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</si>
  <si>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</si>
  <si>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</si>
  <si>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</si>
  <si>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</si>
  <si>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</si>
  <si>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</si>
  <si>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</si>
  <si>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</si>
  <si>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</si>
  <si>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</si>
  <si>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</si>
  <si>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</si>
  <si>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</si>
  <si>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</si>
  <si>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</si>
  <si>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</si>
  <si>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</si>
  <si>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</si>
  <si>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</si>
  <si>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</si>
  <si>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</si>
  <si>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</si>
  <si>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</si>
  <si>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</si>
  <si>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</si>
  <si>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</si>
  <si>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</si>
  <si>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</si>
  <si>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</si>
  <si>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</si>
  <si>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</si>
  <si>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</si>
  <si>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</si>
  <si>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</si>
  <si>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</si>
  <si>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</si>
  <si>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</si>
  <si>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</si>
  <si>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</si>
  <si>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</si>
  <si>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</si>
  <si>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</si>
  <si>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</si>
  <si>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</si>
  <si>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</si>
  <si>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</si>
  <si>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</si>
  <si>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</si>
  <si>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</si>
  <si>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</si>
  <si>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</si>
  <si>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</si>
  <si>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</si>
  <si>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</si>
  <si>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</si>
  <si>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</si>
  <si>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</si>
  <si>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</si>
  <si>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</si>
  <si>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</si>
  <si>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</si>
  <si>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</si>
  <si>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</si>
  <si>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</si>
  <si>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</si>
  <si>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</si>
  <si>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</si>
  <si>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</si>
  <si>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</si>
  <si>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</si>
  <si>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</si>
  <si>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</si>
  <si>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</si>
  <si>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</si>
  <si>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</si>
  <si>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</si>
  <si>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</si>
  <si>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</si>
  <si>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</si>
  <si>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</si>
  <si>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</si>
  <si>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</si>
  <si>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</si>
  <si>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</si>
  <si>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</si>
  <si>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</si>
  <si>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</si>
  <si>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</si>
  <si>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</si>
  <si>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</si>
  <si>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</si>
  <si>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</si>
  <si>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</si>
  <si>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</si>
  <si>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</si>
  <si>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</si>
  <si>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</si>
  <si>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</si>
  <si>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</si>
  <si>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</si>
  <si>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</si>
  <si>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</si>
  <si>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</si>
  <si>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</si>
  <si>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</si>
  <si>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</si>
  <si>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</si>
  <si>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</si>
  <si>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</si>
  <si>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</si>
  <si>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</si>
  <si>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</si>
  <si>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</si>
  <si>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</si>
  <si>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</si>
  <si>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</si>
  <si>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</si>
  <si>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</si>
  <si>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</si>
  <si>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</si>
  <si>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</si>
  <si>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</si>
  <si>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</si>
  <si>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</si>
  <si>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</si>
  <si>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</si>
  <si>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</si>
  <si>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</si>
  <si>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</si>
  <si>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</si>
  <si>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</si>
  <si>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</si>
  <si>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</si>
  <si>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</si>
  <si>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</si>
  <si>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</si>
  <si>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</si>
  <si>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</si>
  <si>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</si>
  <si>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</si>
  <si>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</si>
  <si>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</si>
  <si>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</si>
  <si>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</si>
  <si>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</si>
  <si>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</si>
  <si>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</si>
  <si>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</si>
  <si>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</si>
  <si>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</si>
  <si>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</si>
  <si>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</si>
  <si>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</si>
  <si>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</si>
  <si>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</si>
  <si>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</si>
  <si>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</si>
  <si>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</si>
  <si>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</si>
  <si>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</si>
  <si>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</si>
  <si>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</si>
  <si>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</si>
  <si>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</si>
  <si>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</si>
  <si>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</si>
  <si>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</si>
  <si>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</si>
  <si>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</si>
  <si>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</si>
  <si>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</si>
  <si>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</si>
  <si>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</si>
  <si>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</si>
  <si>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</si>
  <si>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</si>
  <si>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</si>
  <si>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</si>
  <si>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</si>
  <si>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</si>
  <si>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</si>
  <si>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</si>
  <si>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</si>
  <si>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</si>
  <si>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</si>
  <si>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</si>
  <si>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</si>
  <si>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</si>
  <si>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</si>
  <si>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</si>
  <si>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</si>
  <si>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</si>
  <si>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</si>
  <si>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</si>
  <si>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</si>
  <si>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</si>
  <si>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</si>
  <si>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</si>
  <si>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</si>
  <si>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</si>
  <si>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</si>
  <si>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</si>
  <si>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</si>
  <si>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</si>
  <si>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</si>
  <si>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</si>
  <si>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</si>
  <si>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</si>
  <si>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</si>
  <si>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</si>
  <si>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</si>
  <si>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</si>
  <si>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</si>
  <si>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</si>
  <si>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</si>
  <si>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</si>
  <si>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</si>
  <si>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</si>
  <si>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</si>
  <si>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</si>
  <si>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</si>
  <si>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</si>
  <si>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</si>
  <si>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</si>
  <si>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</si>
  <si>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</si>
  <si>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</si>
  <si>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</si>
  <si>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</si>
  <si>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</si>
  <si>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</si>
  <si>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</si>
  <si>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</si>
  <si>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</si>
  <si>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</si>
  <si>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</si>
  <si>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</si>
  <si>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</si>
  <si>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</si>
  <si>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</si>
  <si>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</si>
  <si>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</si>
  <si>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</si>
  <si>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</si>
  <si>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</si>
  <si>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</si>
  <si>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</si>
  <si>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</si>
  <si>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</si>
  <si>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</si>
  <si>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</si>
  <si>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</si>
  <si>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</si>
  <si>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</si>
  <si>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</si>
  <si>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</si>
  <si>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</si>
  <si>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</si>
  <si>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</si>
  <si>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</si>
  <si>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</si>
  <si>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</si>
  <si>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</si>
  <si>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</si>
  <si>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</si>
  <si>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</si>
  <si>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</si>
  <si>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</si>
  <si>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</si>
  <si>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</si>
  <si>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</si>
  <si>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</si>
  <si>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</si>
  <si>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</si>
  <si>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</si>
  <si>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</si>
  <si>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</si>
  <si>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</si>
  <si>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</si>
  <si>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</si>
  <si>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</si>
  <si>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</si>
  <si>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</si>
  <si>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</si>
  <si>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</si>
  <si>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</si>
  <si>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</si>
  <si>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</si>
  <si>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</si>
  <si>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</si>
  <si>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</si>
  <si>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</si>
  <si>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</si>
  <si>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</si>
  <si>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</si>
  <si>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</si>
  <si>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</si>
  <si>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</si>
  <si>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</si>
  <si>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</si>
  <si>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</si>
  <si>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</si>
  <si>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</si>
  <si>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</si>
  <si>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</si>
  <si>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</si>
  <si>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</si>
  <si>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</si>
  <si>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</si>
  <si>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</si>
  <si>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</si>
  <si>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</si>
  <si>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</si>
  <si>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</si>
  <si>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</si>
  <si>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</si>
  <si>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</si>
  <si>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</si>
  <si>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</si>
  <si>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</si>
  <si>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</si>
  <si>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</si>
  <si>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</si>
  <si>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</si>
  <si>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</si>
  <si>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</si>
  <si>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</si>
  <si>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</si>
  <si>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</si>
  <si>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</si>
  <si>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</si>
  <si>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</si>
  <si>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</si>
  <si>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</si>
  <si>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</si>
  <si>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</si>
  <si>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</si>
  <si>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</si>
  <si>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</si>
  <si>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</si>
  <si>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</si>
  <si>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</si>
  <si>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</si>
  <si>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</si>
  <si>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</si>
  <si>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</si>
  <si>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</si>
  <si>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</si>
  <si>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</si>
  <si>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</si>
  <si>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</si>
  <si>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</si>
  <si>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</si>
  <si>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</si>
  <si>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</si>
  <si>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</si>
  <si>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</si>
  <si>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</si>
  <si>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</si>
  <si>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</si>
  <si>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</si>
  <si>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</si>
  <si>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</si>
  <si>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</si>
  <si>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</si>
  <si>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</si>
  <si>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</si>
  <si>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</si>
  <si>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</si>
  <si>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</si>
  <si>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</si>
  <si>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</si>
  <si>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</si>
  <si>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</si>
  <si>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</si>
  <si>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</si>
  <si>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</si>
  <si>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</si>
  <si>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</si>
  <si>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</si>
  <si>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</si>
  <si>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</si>
  <si>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</si>
  <si>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</si>
  <si>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</si>
  <si>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</si>
  <si>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</si>
  <si>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</si>
  <si>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</si>
  <si>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</si>
  <si>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</si>
  <si>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</si>
  <si>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</si>
  <si>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IX.30.</t>
  </si>
  <si>
    <t>Támogatás összege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</si>
</sst>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85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37" fillId="0" borderId="23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165" fontId="88" fillId="0" borderId="19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40" xfId="50" applyNumberFormat="1" applyFont="1" applyFill="1" applyBorder="1" applyAlignment="1" applyProtection="1">
      <alignment horizontal="center" vertical="center" wrapText="1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0" fontId="116" fillId="0" borderId="67" xfId="48" applyNumberFormat="1" applyFont="1" applyFill="1" applyBorder="1" applyAlignment="1" applyProtection="1">
      <alignment vertical="center" wrapText="1"/>
      <protection locked="0"/>
    </xf>
    <xf numFmtId="3" fontId="74" fillId="0" borderId="1" xfId="21" applyNumberFormat="1" applyFont="1" applyFill="1" applyBorder="1" applyAlignment="1" applyProtection="1">
      <alignment horizontal="right"/>
      <protection locked="0"/>
    </xf>
    <xf numFmtId="3" fontId="74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4" fillId="0" borderId="1" xfId="49" applyNumberFormat="1" applyFont="1" applyFill="1" applyBorder="1" applyAlignment="1" applyProtection="1">
      <alignment horizontal="right"/>
      <protection locked="0"/>
    </xf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165" fontId="26" fillId="0" borderId="59" xfId="50" applyNumberFormat="1" applyFont="1" applyFill="1" applyBorder="1" applyAlignment="1" applyProtection="1">
      <alignment horizontal="center" vertical="center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165" fontId="69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9" fillId="0" borderId="18" xfId="0" applyNumberFormat="1" applyFont="1" applyFill="1" applyBorder="1" applyAlignment="1">
      <alignment vertical="center" wrapText="1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0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30" xfId="28" applyNumberFormat="1" applyFont="1" applyFill="1" applyBorder="1" applyAlignment="1" applyProtection="1">
      <alignment horizontal="left" vertical="center" wrapText="1"/>
      <protection locked="0"/>
    </xf>
    <xf numFmtId="165" fontId="69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69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9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69" fillId="0" borderId="17" xfId="0" applyNumberFormat="1" applyFont="1" applyFill="1" applyBorder="1" applyAlignment="1" applyProtection="1">
      <alignment vertical="center" wrapText="1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00" fillId="0" borderId="40" xfId="0" applyNumberFormat="1" applyFont="1" applyFill="1" applyBorder="1" applyAlignment="1" applyProtection="1">
      <alignment vertical="center" wrapText="1"/>
    </xf>
    <xf numFmtId="165" fontId="100" fillId="0" borderId="17" xfId="0" applyNumberFormat="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166" fontId="66" fillId="0" borderId="44" xfId="26" applyNumberFormat="1" applyFont="1" applyBorder="1"/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8" xfId="0" applyNumberFormat="1" applyFont="1" applyFill="1" applyBorder="1" applyAlignment="1">
      <alignment vertical="center" wrapText="1"/>
    </xf>
    <xf numFmtId="49" fontId="110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1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3" xfId="0" applyNumberFormat="1" applyFont="1" applyFill="1" applyBorder="1" applyAlignment="1" applyProtection="1">
      <alignment horizontal="right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75" xfId="0" applyFont="1" applyFill="1" applyBorder="1" applyAlignment="1">
      <alignment vertical="center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0" fontId="110" fillId="0" borderId="46" xfId="0" quotePrefix="1" applyFont="1" applyFill="1" applyBorder="1" applyAlignment="1">
      <alignment vertical="center"/>
    </xf>
    <xf numFmtId="0" fontId="110" fillId="0" borderId="60" xfId="0" quotePrefix="1" applyFont="1" applyFill="1" applyBorder="1" applyAlignment="1">
      <alignment vertical="center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6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114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2" xfId="26" applyNumberFormat="1" applyFont="1" applyBorder="1" applyAlignment="1">
      <alignment horizontal="right"/>
    </xf>
    <xf numFmtId="166" fontId="66" fillId="0" borderId="32" xfId="26" applyNumberFormat="1" applyFont="1" applyBorder="1" applyAlignment="1"/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0" fontId="65" fillId="0" borderId="39" xfId="0" applyFont="1" applyBorder="1" applyAlignment="1" applyProtection="1">
      <alignment horizontal="right" vertical="center" indent="1"/>
    </xf>
    <xf numFmtId="0" fontId="65" fillId="0" borderId="21" xfId="0" applyFont="1" applyBorder="1" applyAlignment="1" applyProtection="1">
      <alignment horizontal="left" vertical="center"/>
      <protection locked="0"/>
    </xf>
    <xf numFmtId="0" fontId="65" fillId="0" borderId="21" xfId="0" applyFont="1" applyBorder="1" applyAlignment="1" applyProtection="1">
      <alignment horizontal="left" vertical="center" indent="1"/>
      <protection locked="0"/>
    </xf>
    <xf numFmtId="169" fontId="65" fillId="0" borderId="26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15" xfId="19" applyNumberFormat="1" applyFont="1" applyBorder="1"/>
    <xf numFmtId="169" fontId="73" fillId="0" borderId="11" xfId="19" applyNumberFormat="1" applyFont="1" applyBorder="1"/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3" fontId="68" fillId="0" borderId="2" xfId="26" quotePrefix="1" applyNumberFormat="1" applyFont="1" applyFill="1" applyBorder="1" applyAlignment="1">
      <alignment horizontal="right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114" fillId="0" borderId="47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20" xfId="0" applyNumberFormat="1" applyFont="1" applyFill="1" applyBorder="1" applyAlignment="1" applyProtection="1">
      <alignment vertical="center" wrapText="1"/>
    </xf>
    <xf numFmtId="165" fontId="66" fillId="0" borderId="75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0" xfId="0" applyNumberFormat="1" applyFont="1" applyFill="1" applyBorder="1" applyAlignment="1" applyProtection="1">
      <alignment vertical="center" wrapText="1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169" fontId="73" fillId="0" borderId="5" xfId="19" applyNumberFormat="1" applyFont="1" applyBorder="1"/>
    <xf numFmtId="169" fontId="73" fillId="0" borderId="8" xfId="19" applyNumberFormat="1" applyFont="1" applyBorder="1"/>
    <xf numFmtId="169" fontId="73" fillId="0" borderId="46" xfId="19" applyNumberFormat="1" applyFont="1" applyBorder="1"/>
    <xf numFmtId="169" fontId="73" fillId="0" borderId="12" xfId="19" applyNumberFormat="1" applyFont="1" applyBorder="1"/>
    <xf numFmtId="169" fontId="73" fillId="0" borderId="67" xfId="19" applyNumberFormat="1" applyFont="1" applyFill="1" applyBorder="1"/>
    <xf numFmtId="169" fontId="73" fillId="0" borderId="16" xfId="19" applyNumberFormat="1" applyFont="1" applyBorder="1"/>
    <xf numFmtId="169" fontId="73" fillId="0" borderId="1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7" sqref="F7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31" t="s">
        <v>701</v>
      </c>
      <c r="B1" s="1431"/>
      <c r="C1" s="1431"/>
      <c r="D1" s="1431"/>
      <c r="E1" s="1431"/>
      <c r="F1" s="1431"/>
      <c r="G1" s="1431"/>
      <c r="H1" s="1431"/>
      <c r="I1" s="1431"/>
      <c r="J1" s="1431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32" t="s">
        <v>710</v>
      </c>
      <c r="B3" s="1432"/>
      <c r="C3" s="1432"/>
      <c r="D3" s="1432"/>
      <c r="E3" s="1432"/>
      <c r="F3" s="1432"/>
      <c r="G3" s="1432"/>
      <c r="H3" s="1432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>
        <v>15</v>
      </c>
      <c r="C7" s="667" t="s">
        <v>705</v>
      </c>
      <c r="D7" s="667" t="s">
        <v>797</v>
      </c>
      <c r="E7" s="667" t="s">
        <v>706</v>
      </c>
      <c r="F7" s="666" t="s">
        <v>1082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33" t="s">
        <v>709</v>
      </c>
      <c r="C11" s="1433"/>
      <c r="D11" s="1433"/>
      <c r="E11" s="1433"/>
      <c r="F11" s="1433"/>
      <c r="G11" s="1433"/>
      <c r="H11" s="1433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activeCell="E32" sqref="E32"/>
    </sheetView>
  </sheetViews>
  <sheetFormatPr defaultRowHeight="15" x14ac:dyDescent="0.25"/>
  <cols>
    <col min="1" max="1" width="5.6640625" style="693" customWidth="1"/>
    <col min="2" max="2" width="41.1640625" style="693" customWidth="1"/>
    <col min="3" max="3" width="17.6640625" style="693" customWidth="1"/>
    <col min="4" max="7" width="14" style="693" customWidth="1"/>
    <col min="8" max="8" width="16.6640625" style="693" customWidth="1"/>
    <col min="9" max="256" width="9.33203125" style="693"/>
    <col min="257" max="257" width="5.6640625" style="693" customWidth="1"/>
    <col min="258" max="258" width="41.1640625" style="693" customWidth="1"/>
    <col min="259" max="259" width="17.6640625" style="693" customWidth="1"/>
    <col min="260" max="263" width="14" style="693" customWidth="1"/>
    <col min="264" max="264" width="16.6640625" style="693" customWidth="1"/>
    <col min="265" max="512" width="9.33203125" style="693"/>
    <col min="513" max="513" width="5.6640625" style="693" customWidth="1"/>
    <col min="514" max="514" width="41.1640625" style="693" customWidth="1"/>
    <col min="515" max="515" width="17.6640625" style="693" customWidth="1"/>
    <col min="516" max="519" width="14" style="693" customWidth="1"/>
    <col min="520" max="520" width="16.6640625" style="693" customWidth="1"/>
    <col min="521" max="768" width="9.33203125" style="693"/>
    <col min="769" max="769" width="5.6640625" style="693" customWidth="1"/>
    <col min="770" max="770" width="41.1640625" style="693" customWidth="1"/>
    <col min="771" max="771" width="17.6640625" style="693" customWidth="1"/>
    <col min="772" max="775" width="14" style="693" customWidth="1"/>
    <col min="776" max="776" width="16.6640625" style="693" customWidth="1"/>
    <col min="777" max="1024" width="9.33203125" style="693"/>
    <col min="1025" max="1025" width="5.6640625" style="693" customWidth="1"/>
    <col min="1026" max="1026" width="41.1640625" style="693" customWidth="1"/>
    <col min="1027" max="1027" width="17.6640625" style="693" customWidth="1"/>
    <col min="1028" max="1031" width="14" style="693" customWidth="1"/>
    <col min="1032" max="1032" width="16.6640625" style="693" customWidth="1"/>
    <col min="1033" max="1280" width="9.33203125" style="693"/>
    <col min="1281" max="1281" width="5.6640625" style="693" customWidth="1"/>
    <col min="1282" max="1282" width="41.1640625" style="693" customWidth="1"/>
    <col min="1283" max="1283" width="17.6640625" style="693" customWidth="1"/>
    <col min="1284" max="1287" width="14" style="693" customWidth="1"/>
    <col min="1288" max="1288" width="16.6640625" style="693" customWidth="1"/>
    <col min="1289" max="1536" width="9.33203125" style="693"/>
    <col min="1537" max="1537" width="5.6640625" style="693" customWidth="1"/>
    <col min="1538" max="1538" width="41.1640625" style="693" customWidth="1"/>
    <col min="1539" max="1539" width="17.6640625" style="693" customWidth="1"/>
    <col min="1540" max="1543" width="14" style="693" customWidth="1"/>
    <col min="1544" max="1544" width="16.6640625" style="693" customWidth="1"/>
    <col min="1545" max="1792" width="9.33203125" style="693"/>
    <col min="1793" max="1793" width="5.6640625" style="693" customWidth="1"/>
    <col min="1794" max="1794" width="41.1640625" style="693" customWidth="1"/>
    <col min="1795" max="1795" width="17.6640625" style="693" customWidth="1"/>
    <col min="1796" max="1799" width="14" style="693" customWidth="1"/>
    <col min="1800" max="1800" width="16.6640625" style="693" customWidth="1"/>
    <col min="1801" max="2048" width="9.33203125" style="693"/>
    <col min="2049" max="2049" width="5.6640625" style="693" customWidth="1"/>
    <col min="2050" max="2050" width="41.1640625" style="693" customWidth="1"/>
    <col min="2051" max="2051" width="17.6640625" style="693" customWidth="1"/>
    <col min="2052" max="2055" width="14" style="693" customWidth="1"/>
    <col min="2056" max="2056" width="16.6640625" style="693" customWidth="1"/>
    <col min="2057" max="2304" width="9.33203125" style="693"/>
    <col min="2305" max="2305" width="5.6640625" style="693" customWidth="1"/>
    <col min="2306" max="2306" width="41.1640625" style="693" customWidth="1"/>
    <col min="2307" max="2307" width="17.6640625" style="693" customWidth="1"/>
    <col min="2308" max="2311" width="14" style="693" customWidth="1"/>
    <col min="2312" max="2312" width="16.6640625" style="693" customWidth="1"/>
    <col min="2313" max="2560" width="9.33203125" style="693"/>
    <col min="2561" max="2561" width="5.6640625" style="693" customWidth="1"/>
    <col min="2562" max="2562" width="41.1640625" style="693" customWidth="1"/>
    <col min="2563" max="2563" width="17.6640625" style="693" customWidth="1"/>
    <col min="2564" max="2567" width="14" style="693" customWidth="1"/>
    <col min="2568" max="2568" width="16.6640625" style="693" customWidth="1"/>
    <col min="2569" max="2816" width="9.33203125" style="693"/>
    <col min="2817" max="2817" width="5.6640625" style="693" customWidth="1"/>
    <col min="2818" max="2818" width="41.1640625" style="693" customWidth="1"/>
    <col min="2819" max="2819" width="17.6640625" style="693" customWidth="1"/>
    <col min="2820" max="2823" width="14" style="693" customWidth="1"/>
    <col min="2824" max="2824" width="16.6640625" style="693" customWidth="1"/>
    <col min="2825" max="3072" width="9.33203125" style="693"/>
    <col min="3073" max="3073" width="5.6640625" style="693" customWidth="1"/>
    <col min="3074" max="3074" width="41.1640625" style="693" customWidth="1"/>
    <col min="3075" max="3075" width="17.6640625" style="693" customWidth="1"/>
    <col min="3076" max="3079" width="14" style="693" customWidth="1"/>
    <col min="3080" max="3080" width="16.6640625" style="693" customWidth="1"/>
    <col min="3081" max="3328" width="9.33203125" style="693"/>
    <col min="3329" max="3329" width="5.6640625" style="693" customWidth="1"/>
    <col min="3330" max="3330" width="41.1640625" style="693" customWidth="1"/>
    <col min="3331" max="3331" width="17.6640625" style="693" customWidth="1"/>
    <col min="3332" max="3335" width="14" style="693" customWidth="1"/>
    <col min="3336" max="3336" width="16.6640625" style="693" customWidth="1"/>
    <col min="3337" max="3584" width="9.33203125" style="693"/>
    <col min="3585" max="3585" width="5.6640625" style="693" customWidth="1"/>
    <col min="3586" max="3586" width="41.1640625" style="693" customWidth="1"/>
    <col min="3587" max="3587" width="17.6640625" style="693" customWidth="1"/>
    <col min="3588" max="3591" width="14" style="693" customWidth="1"/>
    <col min="3592" max="3592" width="16.6640625" style="693" customWidth="1"/>
    <col min="3593" max="3840" width="9.33203125" style="693"/>
    <col min="3841" max="3841" width="5.6640625" style="693" customWidth="1"/>
    <col min="3842" max="3842" width="41.1640625" style="693" customWidth="1"/>
    <col min="3843" max="3843" width="17.6640625" style="693" customWidth="1"/>
    <col min="3844" max="3847" width="14" style="693" customWidth="1"/>
    <col min="3848" max="3848" width="16.6640625" style="693" customWidth="1"/>
    <col min="3849" max="4096" width="9.33203125" style="693"/>
    <col min="4097" max="4097" width="5.6640625" style="693" customWidth="1"/>
    <col min="4098" max="4098" width="41.1640625" style="693" customWidth="1"/>
    <col min="4099" max="4099" width="17.6640625" style="693" customWidth="1"/>
    <col min="4100" max="4103" width="14" style="693" customWidth="1"/>
    <col min="4104" max="4104" width="16.6640625" style="693" customWidth="1"/>
    <col min="4105" max="4352" width="9.33203125" style="693"/>
    <col min="4353" max="4353" width="5.6640625" style="693" customWidth="1"/>
    <col min="4354" max="4354" width="41.1640625" style="693" customWidth="1"/>
    <col min="4355" max="4355" width="17.6640625" style="693" customWidth="1"/>
    <col min="4356" max="4359" width="14" style="693" customWidth="1"/>
    <col min="4360" max="4360" width="16.6640625" style="693" customWidth="1"/>
    <col min="4361" max="4608" width="9.33203125" style="693"/>
    <col min="4609" max="4609" width="5.6640625" style="693" customWidth="1"/>
    <col min="4610" max="4610" width="41.1640625" style="693" customWidth="1"/>
    <col min="4611" max="4611" width="17.6640625" style="693" customWidth="1"/>
    <col min="4612" max="4615" width="14" style="693" customWidth="1"/>
    <col min="4616" max="4616" width="16.6640625" style="693" customWidth="1"/>
    <col min="4617" max="4864" width="9.33203125" style="693"/>
    <col min="4865" max="4865" width="5.6640625" style="693" customWidth="1"/>
    <col min="4866" max="4866" width="41.1640625" style="693" customWidth="1"/>
    <col min="4867" max="4867" width="17.6640625" style="693" customWidth="1"/>
    <col min="4868" max="4871" width="14" style="693" customWidth="1"/>
    <col min="4872" max="4872" width="16.6640625" style="693" customWidth="1"/>
    <col min="4873" max="5120" width="9.33203125" style="693"/>
    <col min="5121" max="5121" width="5.6640625" style="693" customWidth="1"/>
    <col min="5122" max="5122" width="41.1640625" style="693" customWidth="1"/>
    <col min="5123" max="5123" width="17.6640625" style="693" customWidth="1"/>
    <col min="5124" max="5127" width="14" style="693" customWidth="1"/>
    <col min="5128" max="5128" width="16.6640625" style="693" customWidth="1"/>
    <col min="5129" max="5376" width="9.33203125" style="693"/>
    <col min="5377" max="5377" width="5.6640625" style="693" customWidth="1"/>
    <col min="5378" max="5378" width="41.1640625" style="693" customWidth="1"/>
    <col min="5379" max="5379" width="17.6640625" style="693" customWidth="1"/>
    <col min="5380" max="5383" width="14" style="693" customWidth="1"/>
    <col min="5384" max="5384" width="16.6640625" style="693" customWidth="1"/>
    <col min="5385" max="5632" width="9.33203125" style="693"/>
    <col min="5633" max="5633" width="5.6640625" style="693" customWidth="1"/>
    <col min="5634" max="5634" width="41.1640625" style="693" customWidth="1"/>
    <col min="5635" max="5635" width="17.6640625" style="693" customWidth="1"/>
    <col min="5636" max="5639" width="14" style="693" customWidth="1"/>
    <col min="5640" max="5640" width="16.6640625" style="693" customWidth="1"/>
    <col min="5641" max="5888" width="9.33203125" style="693"/>
    <col min="5889" max="5889" width="5.6640625" style="693" customWidth="1"/>
    <col min="5890" max="5890" width="41.1640625" style="693" customWidth="1"/>
    <col min="5891" max="5891" width="17.6640625" style="693" customWidth="1"/>
    <col min="5892" max="5895" width="14" style="693" customWidth="1"/>
    <col min="5896" max="5896" width="16.6640625" style="693" customWidth="1"/>
    <col min="5897" max="6144" width="9.33203125" style="693"/>
    <col min="6145" max="6145" width="5.6640625" style="693" customWidth="1"/>
    <col min="6146" max="6146" width="41.1640625" style="693" customWidth="1"/>
    <col min="6147" max="6147" width="17.6640625" style="693" customWidth="1"/>
    <col min="6148" max="6151" width="14" style="693" customWidth="1"/>
    <col min="6152" max="6152" width="16.6640625" style="693" customWidth="1"/>
    <col min="6153" max="6400" width="9.33203125" style="693"/>
    <col min="6401" max="6401" width="5.6640625" style="693" customWidth="1"/>
    <col min="6402" max="6402" width="41.1640625" style="693" customWidth="1"/>
    <col min="6403" max="6403" width="17.6640625" style="693" customWidth="1"/>
    <col min="6404" max="6407" width="14" style="693" customWidth="1"/>
    <col min="6408" max="6408" width="16.6640625" style="693" customWidth="1"/>
    <col min="6409" max="6656" width="9.33203125" style="693"/>
    <col min="6657" max="6657" width="5.6640625" style="693" customWidth="1"/>
    <col min="6658" max="6658" width="41.1640625" style="693" customWidth="1"/>
    <col min="6659" max="6659" width="17.6640625" style="693" customWidth="1"/>
    <col min="6660" max="6663" width="14" style="693" customWidth="1"/>
    <col min="6664" max="6664" width="16.6640625" style="693" customWidth="1"/>
    <col min="6665" max="6912" width="9.33203125" style="693"/>
    <col min="6913" max="6913" width="5.6640625" style="693" customWidth="1"/>
    <col min="6914" max="6914" width="41.1640625" style="693" customWidth="1"/>
    <col min="6915" max="6915" width="17.6640625" style="693" customWidth="1"/>
    <col min="6916" max="6919" width="14" style="693" customWidth="1"/>
    <col min="6920" max="6920" width="16.6640625" style="693" customWidth="1"/>
    <col min="6921" max="7168" width="9.33203125" style="693"/>
    <col min="7169" max="7169" width="5.6640625" style="693" customWidth="1"/>
    <col min="7170" max="7170" width="41.1640625" style="693" customWidth="1"/>
    <col min="7171" max="7171" width="17.6640625" style="693" customWidth="1"/>
    <col min="7172" max="7175" width="14" style="693" customWidth="1"/>
    <col min="7176" max="7176" width="16.6640625" style="693" customWidth="1"/>
    <col min="7177" max="7424" width="9.33203125" style="693"/>
    <col min="7425" max="7425" width="5.6640625" style="693" customWidth="1"/>
    <col min="7426" max="7426" width="41.1640625" style="693" customWidth="1"/>
    <col min="7427" max="7427" width="17.6640625" style="693" customWidth="1"/>
    <col min="7428" max="7431" width="14" style="693" customWidth="1"/>
    <col min="7432" max="7432" width="16.6640625" style="693" customWidth="1"/>
    <col min="7433" max="7680" width="9.33203125" style="693"/>
    <col min="7681" max="7681" width="5.6640625" style="693" customWidth="1"/>
    <col min="7682" max="7682" width="41.1640625" style="693" customWidth="1"/>
    <col min="7683" max="7683" width="17.6640625" style="693" customWidth="1"/>
    <col min="7684" max="7687" width="14" style="693" customWidth="1"/>
    <col min="7688" max="7688" width="16.6640625" style="693" customWidth="1"/>
    <col min="7689" max="7936" width="9.33203125" style="693"/>
    <col min="7937" max="7937" width="5.6640625" style="693" customWidth="1"/>
    <col min="7938" max="7938" width="41.1640625" style="693" customWidth="1"/>
    <col min="7939" max="7939" width="17.6640625" style="693" customWidth="1"/>
    <col min="7940" max="7943" width="14" style="693" customWidth="1"/>
    <col min="7944" max="7944" width="16.6640625" style="693" customWidth="1"/>
    <col min="7945" max="8192" width="9.33203125" style="693"/>
    <col min="8193" max="8193" width="5.6640625" style="693" customWidth="1"/>
    <col min="8194" max="8194" width="41.1640625" style="693" customWidth="1"/>
    <col min="8195" max="8195" width="17.6640625" style="693" customWidth="1"/>
    <col min="8196" max="8199" width="14" style="693" customWidth="1"/>
    <col min="8200" max="8200" width="16.6640625" style="693" customWidth="1"/>
    <col min="8201" max="8448" width="9.33203125" style="693"/>
    <col min="8449" max="8449" width="5.6640625" style="693" customWidth="1"/>
    <col min="8450" max="8450" width="41.1640625" style="693" customWidth="1"/>
    <col min="8451" max="8451" width="17.6640625" style="693" customWidth="1"/>
    <col min="8452" max="8455" width="14" style="693" customWidth="1"/>
    <col min="8456" max="8456" width="16.6640625" style="693" customWidth="1"/>
    <col min="8457" max="8704" width="9.33203125" style="693"/>
    <col min="8705" max="8705" width="5.6640625" style="693" customWidth="1"/>
    <col min="8706" max="8706" width="41.1640625" style="693" customWidth="1"/>
    <col min="8707" max="8707" width="17.6640625" style="693" customWidth="1"/>
    <col min="8708" max="8711" width="14" style="693" customWidth="1"/>
    <col min="8712" max="8712" width="16.6640625" style="693" customWidth="1"/>
    <col min="8713" max="8960" width="9.33203125" style="693"/>
    <col min="8961" max="8961" width="5.6640625" style="693" customWidth="1"/>
    <col min="8962" max="8962" width="41.1640625" style="693" customWidth="1"/>
    <col min="8963" max="8963" width="17.6640625" style="693" customWidth="1"/>
    <col min="8964" max="8967" width="14" style="693" customWidth="1"/>
    <col min="8968" max="8968" width="16.6640625" style="693" customWidth="1"/>
    <col min="8969" max="9216" width="9.33203125" style="693"/>
    <col min="9217" max="9217" width="5.6640625" style="693" customWidth="1"/>
    <col min="9218" max="9218" width="41.1640625" style="693" customWidth="1"/>
    <col min="9219" max="9219" width="17.6640625" style="693" customWidth="1"/>
    <col min="9220" max="9223" width="14" style="693" customWidth="1"/>
    <col min="9224" max="9224" width="16.6640625" style="693" customWidth="1"/>
    <col min="9225" max="9472" width="9.33203125" style="693"/>
    <col min="9473" max="9473" width="5.6640625" style="693" customWidth="1"/>
    <col min="9474" max="9474" width="41.1640625" style="693" customWidth="1"/>
    <col min="9475" max="9475" width="17.6640625" style="693" customWidth="1"/>
    <col min="9476" max="9479" width="14" style="693" customWidth="1"/>
    <col min="9480" max="9480" width="16.6640625" style="693" customWidth="1"/>
    <col min="9481" max="9728" width="9.33203125" style="693"/>
    <col min="9729" max="9729" width="5.6640625" style="693" customWidth="1"/>
    <col min="9730" max="9730" width="41.1640625" style="693" customWidth="1"/>
    <col min="9731" max="9731" width="17.6640625" style="693" customWidth="1"/>
    <col min="9732" max="9735" width="14" style="693" customWidth="1"/>
    <col min="9736" max="9736" width="16.6640625" style="693" customWidth="1"/>
    <col min="9737" max="9984" width="9.33203125" style="693"/>
    <col min="9985" max="9985" width="5.6640625" style="693" customWidth="1"/>
    <col min="9986" max="9986" width="41.1640625" style="693" customWidth="1"/>
    <col min="9987" max="9987" width="17.6640625" style="693" customWidth="1"/>
    <col min="9988" max="9991" width="14" style="693" customWidth="1"/>
    <col min="9992" max="9992" width="16.6640625" style="693" customWidth="1"/>
    <col min="9993" max="10240" width="9.33203125" style="693"/>
    <col min="10241" max="10241" width="5.6640625" style="693" customWidth="1"/>
    <col min="10242" max="10242" width="41.1640625" style="693" customWidth="1"/>
    <col min="10243" max="10243" width="17.6640625" style="693" customWidth="1"/>
    <col min="10244" max="10247" width="14" style="693" customWidth="1"/>
    <col min="10248" max="10248" width="16.6640625" style="693" customWidth="1"/>
    <col min="10249" max="10496" width="9.33203125" style="693"/>
    <col min="10497" max="10497" width="5.6640625" style="693" customWidth="1"/>
    <col min="10498" max="10498" width="41.1640625" style="693" customWidth="1"/>
    <col min="10499" max="10499" width="17.6640625" style="693" customWidth="1"/>
    <col min="10500" max="10503" width="14" style="693" customWidth="1"/>
    <col min="10504" max="10504" width="16.6640625" style="693" customWidth="1"/>
    <col min="10505" max="10752" width="9.33203125" style="693"/>
    <col min="10753" max="10753" width="5.6640625" style="693" customWidth="1"/>
    <col min="10754" max="10754" width="41.1640625" style="693" customWidth="1"/>
    <col min="10755" max="10755" width="17.6640625" style="693" customWidth="1"/>
    <col min="10756" max="10759" width="14" style="693" customWidth="1"/>
    <col min="10760" max="10760" width="16.6640625" style="693" customWidth="1"/>
    <col min="10761" max="11008" width="9.33203125" style="693"/>
    <col min="11009" max="11009" width="5.6640625" style="693" customWidth="1"/>
    <col min="11010" max="11010" width="41.1640625" style="693" customWidth="1"/>
    <col min="11011" max="11011" width="17.6640625" style="693" customWidth="1"/>
    <col min="11012" max="11015" width="14" style="693" customWidth="1"/>
    <col min="11016" max="11016" width="16.6640625" style="693" customWidth="1"/>
    <col min="11017" max="11264" width="9.33203125" style="693"/>
    <col min="11265" max="11265" width="5.6640625" style="693" customWidth="1"/>
    <col min="11266" max="11266" width="41.1640625" style="693" customWidth="1"/>
    <col min="11267" max="11267" width="17.6640625" style="693" customWidth="1"/>
    <col min="11268" max="11271" width="14" style="693" customWidth="1"/>
    <col min="11272" max="11272" width="16.6640625" style="693" customWidth="1"/>
    <col min="11273" max="11520" width="9.33203125" style="693"/>
    <col min="11521" max="11521" width="5.6640625" style="693" customWidth="1"/>
    <col min="11522" max="11522" width="41.1640625" style="693" customWidth="1"/>
    <col min="11523" max="11523" width="17.6640625" style="693" customWidth="1"/>
    <col min="11524" max="11527" width="14" style="693" customWidth="1"/>
    <col min="11528" max="11528" width="16.6640625" style="693" customWidth="1"/>
    <col min="11529" max="11776" width="9.33203125" style="693"/>
    <col min="11777" max="11777" width="5.6640625" style="693" customWidth="1"/>
    <col min="11778" max="11778" width="41.1640625" style="693" customWidth="1"/>
    <col min="11779" max="11779" width="17.6640625" style="693" customWidth="1"/>
    <col min="11780" max="11783" width="14" style="693" customWidth="1"/>
    <col min="11784" max="11784" width="16.6640625" style="693" customWidth="1"/>
    <col min="11785" max="12032" width="9.33203125" style="693"/>
    <col min="12033" max="12033" width="5.6640625" style="693" customWidth="1"/>
    <col min="12034" max="12034" width="41.1640625" style="693" customWidth="1"/>
    <col min="12035" max="12035" width="17.6640625" style="693" customWidth="1"/>
    <col min="12036" max="12039" width="14" style="693" customWidth="1"/>
    <col min="12040" max="12040" width="16.6640625" style="693" customWidth="1"/>
    <col min="12041" max="12288" width="9.33203125" style="693"/>
    <col min="12289" max="12289" width="5.6640625" style="693" customWidth="1"/>
    <col min="12290" max="12290" width="41.1640625" style="693" customWidth="1"/>
    <col min="12291" max="12291" width="17.6640625" style="693" customWidth="1"/>
    <col min="12292" max="12295" width="14" style="693" customWidth="1"/>
    <col min="12296" max="12296" width="16.6640625" style="693" customWidth="1"/>
    <col min="12297" max="12544" width="9.33203125" style="693"/>
    <col min="12545" max="12545" width="5.6640625" style="693" customWidth="1"/>
    <col min="12546" max="12546" width="41.1640625" style="693" customWidth="1"/>
    <col min="12547" max="12547" width="17.6640625" style="693" customWidth="1"/>
    <col min="12548" max="12551" width="14" style="693" customWidth="1"/>
    <col min="12552" max="12552" width="16.6640625" style="693" customWidth="1"/>
    <col min="12553" max="12800" width="9.33203125" style="693"/>
    <col min="12801" max="12801" width="5.6640625" style="693" customWidth="1"/>
    <col min="12802" max="12802" width="41.1640625" style="693" customWidth="1"/>
    <col min="12803" max="12803" width="17.6640625" style="693" customWidth="1"/>
    <col min="12804" max="12807" width="14" style="693" customWidth="1"/>
    <col min="12808" max="12808" width="16.6640625" style="693" customWidth="1"/>
    <col min="12809" max="13056" width="9.33203125" style="693"/>
    <col min="13057" max="13057" width="5.6640625" style="693" customWidth="1"/>
    <col min="13058" max="13058" width="41.1640625" style="693" customWidth="1"/>
    <col min="13059" max="13059" width="17.6640625" style="693" customWidth="1"/>
    <col min="13060" max="13063" width="14" style="693" customWidth="1"/>
    <col min="13064" max="13064" width="16.6640625" style="693" customWidth="1"/>
    <col min="13065" max="13312" width="9.33203125" style="693"/>
    <col min="13313" max="13313" width="5.6640625" style="693" customWidth="1"/>
    <col min="13314" max="13314" width="41.1640625" style="693" customWidth="1"/>
    <col min="13315" max="13315" width="17.6640625" style="693" customWidth="1"/>
    <col min="13316" max="13319" width="14" style="693" customWidth="1"/>
    <col min="13320" max="13320" width="16.6640625" style="693" customWidth="1"/>
    <col min="13321" max="13568" width="9.33203125" style="693"/>
    <col min="13569" max="13569" width="5.6640625" style="693" customWidth="1"/>
    <col min="13570" max="13570" width="41.1640625" style="693" customWidth="1"/>
    <col min="13571" max="13571" width="17.6640625" style="693" customWidth="1"/>
    <col min="13572" max="13575" width="14" style="693" customWidth="1"/>
    <col min="13576" max="13576" width="16.6640625" style="693" customWidth="1"/>
    <col min="13577" max="13824" width="9.33203125" style="693"/>
    <col min="13825" max="13825" width="5.6640625" style="693" customWidth="1"/>
    <col min="13826" max="13826" width="41.1640625" style="693" customWidth="1"/>
    <col min="13827" max="13827" width="17.6640625" style="693" customWidth="1"/>
    <col min="13828" max="13831" width="14" style="693" customWidth="1"/>
    <col min="13832" max="13832" width="16.6640625" style="693" customWidth="1"/>
    <col min="13833" max="14080" width="9.33203125" style="693"/>
    <col min="14081" max="14081" width="5.6640625" style="693" customWidth="1"/>
    <col min="14082" max="14082" width="41.1640625" style="693" customWidth="1"/>
    <col min="14083" max="14083" width="17.6640625" style="693" customWidth="1"/>
    <col min="14084" max="14087" width="14" style="693" customWidth="1"/>
    <col min="14088" max="14088" width="16.6640625" style="693" customWidth="1"/>
    <col min="14089" max="14336" width="9.33203125" style="693"/>
    <col min="14337" max="14337" width="5.6640625" style="693" customWidth="1"/>
    <col min="14338" max="14338" width="41.1640625" style="693" customWidth="1"/>
    <col min="14339" max="14339" width="17.6640625" style="693" customWidth="1"/>
    <col min="14340" max="14343" width="14" style="693" customWidth="1"/>
    <col min="14344" max="14344" width="16.6640625" style="693" customWidth="1"/>
    <col min="14345" max="14592" width="9.33203125" style="693"/>
    <col min="14593" max="14593" width="5.6640625" style="693" customWidth="1"/>
    <col min="14594" max="14594" width="41.1640625" style="693" customWidth="1"/>
    <col min="14595" max="14595" width="17.6640625" style="693" customWidth="1"/>
    <col min="14596" max="14599" width="14" style="693" customWidth="1"/>
    <col min="14600" max="14600" width="16.6640625" style="693" customWidth="1"/>
    <col min="14601" max="14848" width="9.33203125" style="693"/>
    <col min="14849" max="14849" width="5.6640625" style="693" customWidth="1"/>
    <col min="14850" max="14850" width="41.1640625" style="693" customWidth="1"/>
    <col min="14851" max="14851" width="17.6640625" style="693" customWidth="1"/>
    <col min="14852" max="14855" width="14" style="693" customWidth="1"/>
    <col min="14856" max="14856" width="16.6640625" style="693" customWidth="1"/>
    <col min="14857" max="15104" width="9.33203125" style="693"/>
    <col min="15105" max="15105" width="5.6640625" style="693" customWidth="1"/>
    <col min="15106" max="15106" width="41.1640625" style="693" customWidth="1"/>
    <col min="15107" max="15107" width="17.6640625" style="693" customWidth="1"/>
    <col min="15108" max="15111" width="14" style="693" customWidth="1"/>
    <col min="15112" max="15112" width="16.6640625" style="693" customWidth="1"/>
    <col min="15113" max="15360" width="9.33203125" style="693"/>
    <col min="15361" max="15361" width="5.6640625" style="693" customWidth="1"/>
    <col min="15362" max="15362" width="41.1640625" style="693" customWidth="1"/>
    <col min="15363" max="15363" width="17.6640625" style="693" customWidth="1"/>
    <col min="15364" max="15367" width="14" style="693" customWidth="1"/>
    <col min="15368" max="15368" width="16.6640625" style="693" customWidth="1"/>
    <col min="15369" max="15616" width="9.33203125" style="693"/>
    <col min="15617" max="15617" width="5.6640625" style="693" customWidth="1"/>
    <col min="15618" max="15618" width="41.1640625" style="693" customWidth="1"/>
    <col min="15619" max="15619" width="17.6640625" style="693" customWidth="1"/>
    <col min="15620" max="15623" width="14" style="693" customWidth="1"/>
    <col min="15624" max="15624" width="16.6640625" style="693" customWidth="1"/>
    <col min="15625" max="15872" width="9.33203125" style="693"/>
    <col min="15873" max="15873" width="5.6640625" style="693" customWidth="1"/>
    <col min="15874" max="15874" width="41.1640625" style="693" customWidth="1"/>
    <col min="15875" max="15875" width="17.6640625" style="693" customWidth="1"/>
    <col min="15876" max="15879" width="14" style="693" customWidth="1"/>
    <col min="15880" max="15880" width="16.6640625" style="693" customWidth="1"/>
    <col min="15881" max="16128" width="9.33203125" style="693"/>
    <col min="16129" max="16129" width="5.6640625" style="693" customWidth="1"/>
    <col min="16130" max="16130" width="41.1640625" style="693" customWidth="1"/>
    <col min="16131" max="16131" width="17.6640625" style="693" customWidth="1"/>
    <col min="16132" max="16135" width="14" style="693" customWidth="1"/>
    <col min="16136" max="16136" width="16.6640625" style="693" customWidth="1"/>
    <col min="16137" max="16384" width="9.33203125" style="693"/>
  </cols>
  <sheetData>
    <row r="1" spans="1:11" x14ac:dyDescent="0.25">
      <c r="A1" s="1447" t="str">
        <f>CONCATENATE("3. melléklet ",ALAPADATOK!A7," ",ALAPADATOK!B7," ",ALAPADATOK!C7," ",ALAPADATOK!D7," ",ALAPADATOK!E7," ",ALAPADATOK!F7," ",ALAPADATOK!G7," ",ALAPADATOK!H7)</f>
        <v>3. melléklet a 15 / 2021. ( IX.30. ) önkormányzati rendelethez</v>
      </c>
      <c r="B1" s="1447"/>
      <c r="C1" s="1447"/>
      <c r="D1" s="1447"/>
      <c r="E1" s="1447"/>
      <c r="F1" s="1447"/>
      <c r="G1" s="1447"/>
      <c r="H1" s="1447"/>
    </row>
    <row r="3" spans="1:11" x14ac:dyDescent="0.25">
      <c r="A3" s="1448" t="s">
        <v>388</v>
      </c>
      <c r="B3" s="1448"/>
      <c r="C3" s="1448"/>
      <c r="D3" s="1448"/>
      <c r="E3" s="1448"/>
      <c r="F3" s="1448"/>
      <c r="G3" s="1448"/>
      <c r="H3" s="1448"/>
    </row>
    <row r="4" spans="1:11" ht="15.75" thickBot="1" x14ac:dyDescent="0.3">
      <c r="A4" s="694"/>
      <c r="B4" s="695"/>
      <c r="C4" s="695"/>
      <c r="D4" s="1449"/>
      <c r="E4" s="1449"/>
      <c r="F4" s="1449"/>
      <c r="G4" s="1450" t="s">
        <v>504</v>
      </c>
      <c r="H4" s="1450"/>
      <c r="I4" s="880"/>
    </row>
    <row r="5" spans="1:11" ht="25.5" x14ac:dyDescent="0.25">
      <c r="A5" s="1451" t="s">
        <v>14</v>
      </c>
      <c r="B5" s="1453" t="s">
        <v>148</v>
      </c>
      <c r="C5" s="696" t="s">
        <v>810</v>
      </c>
      <c r="D5" s="1453" t="s">
        <v>180</v>
      </c>
      <c r="E5" s="1453"/>
      <c r="F5" s="1453"/>
      <c r="G5" s="1453"/>
      <c r="H5" s="1455" t="s">
        <v>509</v>
      </c>
    </row>
    <row r="6" spans="1:11" ht="15.75" thickBot="1" x14ac:dyDescent="0.3">
      <c r="A6" s="1452"/>
      <c r="B6" s="1454"/>
      <c r="C6" s="935"/>
      <c r="D6" s="935">
        <v>2021</v>
      </c>
      <c r="E6" s="935">
        <v>2022</v>
      </c>
      <c r="F6" s="935">
        <v>2023</v>
      </c>
      <c r="G6" s="1179">
        <v>2024</v>
      </c>
      <c r="H6" s="1456"/>
    </row>
    <row r="7" spans="1:11" ht="15.75" thickBot="1" x14ac:dyDescent="0.3">
      <c r="A7" s="697" t="s">
        <v>16</v>
      </c>
      <c r="B7" s="698">
        <v>2</v>
      </c>
      <c r="C7" s="699">
        <v>3</v>
      </c>
      <c r="D7" s="699">
        <v>4</v>
      </c>
      <c r="E7" s="699">
        <v>5</v>
      </c>
      <c r="F7" s="699">
        <v>6</v>
      </c>
      <c r="G7" s="700">
        <v>7</v>
      </c>
      <c r="H7" s="700">
        <v>8</v>
      </c>
    </row>
    <row r="8" spans="1:11" ht="26.25" x14ac:dyDescent="0.25">
      <c r="A8" s="701" t="s">
        <v>16</v>
      </c>
      <c r="B8" s="702" t="s">
        <v>811</v>
      </c>
      <c r="C8" s="703">
        <v>0</v>
      </c>
      <c r="D8" s="881">
        <v>0</v>
      </c>
      <c r="E8" s="881">
        <v>0</v>
      </c>
      <c r="F8" s="881">
        <v>0</v>
      </c>
      <c r="G8" s="881">
        <v>0</v>
      </c>
      <c r="H8" s="882">
        <f t="shared" ref="H8:H26" si="0">SUM(D8:G8)</f>
        <v>0</v>
      </c>
    </row>
    <row r="9" spans="1:11" ht="39" x14ac:dyDescent="0.25">
      <c r="A9" s="701" t="s">
        <v>17</v>
      </c>
      <c r="B9" s="702" t="s">
        <v>514</v>
      </c>
      <c r="C9" s="703">
        <v>0</v>
      </c>
      <c r="D9" s="881">
        <v>0</v>
      </c>
      <c r="E9" s="881">
        <v>0</v>
      </c>
      <c r="F9" s="881">
        <v>0</v>
      </c>
      <c r="G9" s="881">
        <v>0</v>
      </c>
      <c r="H9" s="882">
        <f t="shared" si="0"/>
        <v>0</v>
      </c>
      <c r="K9" s="704"/>
    </row>
    <row r="10" spans="1:11" ht="39" x14ac:dyDescent="0.25">
      <c r="A10" s="701" t="s">
        <v>18</v>
      </c>
      <c r="B10" s="702" t="s">
        <v>515</v>
      </c>
      <c r="C10" s="703">
        <v>5887000</v>
      </c>
      <c r="D10" s="883">
        <v>1472000</v>
      </c>
      <c r="E10" s="883">
        <v>1472000</v>
      </c>
      <c r="F10" s="881">
        <v>1472000</v>
      </c>
      <c r="G10" s="881">
        <v>1471000</v>
      </c>
      <c r="H10" s="882">
        <f t="shared" si="0"/>
        <v>5887000</v>
      </c>
      <c r="I10" s="705"/>
      <c r="J10" s="706"/>
      <c r="K10" s="707"/>
    </row>
    <row r="11" spans="1:11" ht="26.25" x14ac:dyDescent="0.25">
      <c r="A11" s="701" t="s">
        <v>19</v>
      </c>
      <c r="B11" s="702" t="s">
        <v>599</v>
      </c>
      <c r="C11" s="703">
        <v>443461</v>
      </c>
      <c r="D11" s="883">
        <v>443461</v>
      </c>
      <c r="E11" s="883">
        <v>0</v>
      </c>
      <c r="F11" s="881">
        <v>0</v>
      </c>
      <c r="G11" s="881">
        <v>0</v>
      </c>
      <c r="H11" s="882">
        <f t="shared" si="0"/>
        <v>443461</v>
      </c>
    </row>
    <row r="12" spans="1:11" ht="26.25" x14ac:dyDescent="0.25">
      <c r="A12" s="701" t="s">
        <v>20</v>
      </c>
      <c r="B12" s="702" t="s">
        <v>600</v>
      </c>
      <c r="C12" s="703">
        <v>556539</v>
      </c>
      <c r="D12" s="883">
        <v>556539</v>
      </c>
      <c r="E12" s="883">
        <v>0</v>
      </c>
      <c r="F12" s="881">
        <v>0</v>
      </c>
      <c r="G12" s="881">
        <v>0</v>
      </c>
      <c r="H12" s="882">
        <f t="shared" si="0"/>
        <v>556539</v>
      </c>
    </row>
    <row r="13" spans="1:11" ht="26.25" customHeight="1" x14ac:dyDescent="0.25">
      <c r="A13" s="701" t="s">
        <v>21</v>
      </c>
      <c r="B13" s="708" t="s">
        <v>510</v>
      </c>
      <c r="C13" s="709">
        <v>31221155</v>
      </c>
      <c r="D13" s="881">
        <v>4940000</v>
      </c>
      <c r="E13" s="881">
        <v>4940000</v>
      </c>
      <c r="F13" s="881">
        <v>4940000</v>
      </c>
      <c r="G13" s="881">
        <v>4940000</v>
      </c>
      <c r="H13" s="882">
        <f t="shared" si="0"/>
        <v>19760000</v>
      </c>
    </row>
    <row r="14" spans="1:11" ht="39" x14ac:dyDescent="0.25">
      <c r="A14" s="701" t="s">
        <v>22</v>
      </c>
      <c r="B14" s="710" t="s">
        <v>516</v>
      </c>
      <c r="C14" s="711">
        <v>2572000</v>
      </c>
      <c r="D14" s="884">
        <v>1464000</v>
      </c>
      <c r="E14" s="884">
        <v>1108000</v>
      </c>
      <c r="F14" s="885">
        <v>0</v>
      </c>
      <c r="G14" s="885">
        <v>0</v>
      </c>
      <c r="H14" s="882">
        <f t="shared" si="0"/>
        <v>2572000</v>
      </c>
    </row>
    <row r="15" spans="1:11" ht="26.25" x14ac:dyDescent="0.25">
      <c r="A15" s="701" t="s">
        <v>23</v>
      </c>
      <c r="B15" s="712" t="s">
        <v>601</v>
      </c>
      <c r="C15" s="703">
        <v>1725452</v>
      </c>
      <c r="D15" s="881">
        <v>984000</v>
      </c>
      <c r="E15" s="881">
        <v>741452</v>
      </c>
      <c r="F15" s="881">
        <v>0</v>
      </c>
      <c r="G15" s="881">
        <v>0</v>
      </c>
      <c r="H15" s="882">
        <f t="shared" si="0"/>
        <v>1725452</v>
      </c>
    </row>
    <row r="16" spans="1:11" ht="26.25" x14ac:dyDescent="0.25">
      <c r="A16" s="701" t="s">
        <v>24</v>
      </c>
      <c r="B16" s="712" t="s">
        <v>602</v>
      </c>
      <c r="C16" s="703">
        <v>1118946</v>
      </c>
      <c r="D16" s="881">
        <v>1118946</v>
      </c>
      <c r="E16" s="881">
        <v>0</v>
      </c>
      <c r="F16" s="881">
        <v>0</v>
      </c>
      <c r="G16" s="881">
        <v>0</v>
      </c>
      <c r="H16" s="882">
        <f t="shared" si="0"/>
        <v>1118946</v>
      </c>
    </row>
    <row r="17" spans="1:8" ht="26.25" x14ac:dyDescent="0.25">
      <c r="A17" s="701" t="s">
        <v>25</v>
      </c>
      <c r="B17" s="712" t="s">
        <v>603</v>
      </c>
      <c r="C17" s="703">
        <v>3281242</v>
      </c>
      <c r="D17" s="881">
        <v>1270000</v>
      </c>
      <c r="E17" s="881">
        <v>1270000</v>
      </c>
      <c r="F17" s="881">
        <v>741242</v>
      </c>
      <c r="G17" s="881">
        <v>0</v>
      </c>
      <c r="H17" s="882">
        <f t="shared" si="0"/>
        <v>3281242</v>
      </c>
    </row>
    <row r="18" spans="1:8" ht="26.25" x14ac:dyDescent="0.25">
      <c r="A18" s="701" t="s">
        <v>26</v>
      </c>
      <c r="B18" s="708" t="s">
        <v>604</v>
      </c>
      <c r="C18" s="703">
        <v>7393526</v>
      </c>
      <c r="D18" s="881">
        <v>1668000</v>
      </c>
      <c r="E18" s="881">
        <v>1668000</v>
      </c>
      <c r="F18" s="881">
        <v>1668000</v>
      </c>
      <c r="G18" s="881">
        <v>1668000</v>
      </c>
      <c r="H18" s="882">
        <f t="shared" si="0"/>
        <v>6672000</v>
      </c>
    </row>
    <row r="19" spans="1:8" ht="27.75" customHeight="1" x14ac:dyDescent="0.25">
      <c r="A19" s="701" t="s">
        <v>27</v>
      </c>
      <c r="B19" s="708" t="s">
        <v>605</v>
      </c>
      <c r="C19" s="703">
        <v>7208258</v>
      </c>
      <c r="D19" s="881">
        <v>1834504</v>
      </c>
      <c r="E19" s="881">
        <v>1834504</v>
      </c>
      <c r="F19" s="881">
        <v>1834504</v>
      </c>
      <c r="G19" s="881">
        <v>1704746</v>
      </c>
      <c r="H19" s="882">
        <f t="shared" si="0"/>
        <v>7208258</v>
      </c>
    </row>
    <row r="20" spans="1:8" ht="27" customHeight="1" x14ac:dyDescent="0.25">
      <c r="A20" s="701" t="s">
        <v>28</v>
      </c>
      <c r="B20" s="708" t="s">
        <v>606</v>
      </c>
      <c r="C20" s="703">
        <v>1848697</v>
      </c>
      <c r="D20" s="881">
        <v>1848697</v>
      </c>
      <c r="E20" s="881">
        <v>0</v>
      </c>
      <c r="F20" s="881">
        <v>0</v>
      </c>
      <c r="G20" s="881">
        <v>0</v>
      </c>
      <c r="H20" s="882">
        <f t="shared" si="0"/>
        <v>1848697</v>
      </c>
    </row>
    <row r="21" spans="1:8" ht="27" customHeight="1" x14ac:dyDescent="0.25">
      <c r="A21" s="701" t="s">
        <v>29</v>
      </c>
      <c r="B21" s="708" t="s">
        <v>607</v>
      </c>
      <c r="C21" s="703">
        <v>22222400</v>
      </c>
      <c r="D21" s="881">
        <v>2777600</v>
      </c>
      <c r="E21" s="881">
        <v>2777600</v>
      </c>
      <c r="F21" s="881">
        <v>2777600</v>
      </c>
      <c r="G21" s="881">
        <v>2777600</v>
      </c>
      <c r="H21" s="882">
        <f t="shared" si="0"/>
        <v>11110400</v>
      </c>
    </row>
    <row r="22" spans="1:8" ht="26.25" customHeight="1" x14ac:dyDescent="0.25">
      <c r="A22" s="701" t="s">
        <v>30</v>
      </c>
      <c r="B22" s="708" t="s">
        <v>608</v>
      </c>
      <c r="C22" s="703">
        <v>3501644</v>
      </c>
      <c r="D22" s="881">
        <v>1016000</v>
      </c>
      <c r="E22" s="881">
        <v>1016000</v>
      </c>
      <c r="F22" s="881">
        <v>1016000</v>
      </c>
      <c r="G22" s="881">
        <v>453644</v>
      </c>
      <c r="H22" s="882">
        <f t="shared" si="0"/>
        <v>3501644</v>
      </c>
    </row>
    <row r="23" spans="1:8" ht="26.25" x14ac:dyDescent="0.25">
      <c r="A23" s="701" t="s">
        <v>31</v>
      </c>
      <c r="B23" s="708" t="s">
        <v>609</v>
      </c>
      <c r="C23" s="703">
        <v>16409597</v>
      </c>
      <c r="D23" s="881">
        <v>3600000</v>
      </c>
      <c r="E23" s="881">
        <v>3600000</v>
      </c>
      <c r="F23" s="881">
        <v>3600000</v>
      </c>
      <c r="G23" s="881">
        <v>3600000</v>
      </c>
      <c r="H23" s="882">
        <f t="shared" si="0"/>
        <v>14400000</v>
      </c>
    </row>
    <row r="24" spans="1:8" x14ac:dyDescent="0.25">
      <c r="A24" s="701" t="s">
        <v>32</v>
      </c>
      <c r="B24" s="1180" t="s">
        <v>964</v>
      </c>
      <c r="C24" s="953">
        <v>0</v>
      </c>
      <c r="D24" s="954">
        <v>0</v>
      </c>
      <c r="E24" s="954">
        <v>2300740</v>
      </c>
      <c r="F24" s="954">
        <v>2300740</v>
      </c>
      <c r="G24" s="955">
        <v>2300740</v>
      </c>
      <c r="H24" s="882">
        <f t="shared" si="0"/>
        <v>6902220</v>
      </c>
    </row>
    <row r="25" spans="1:8" ht="22.5" x14ac:dyDescent="0.25">
      <c r="A25" s="943" t="s">
        <v>33</v>
      </c>
      <c r="B25" s="956" t="s">
        <v>965</v>
      </c>
      <c r="C25" s="953">
        <v>0</v>
      </c>
      <c r="D25" s="954">
        <v>0</v>
      </c>
      <c r="E25" s="954">
        <v>0</v>
      </c>
      <c r="F25" s="954">
        <v>1568620</v>
      </c>
      <c r="G25" s="955">
        <v>1568620</v>
      </c>
      <c r="H25" s="957">
        <f t="shared" si="0"/>
        <v>3137240</v>
      </c>
    </row>
    <row r="26" spans="1:8" ht="15.75" thickBot="1" x14ac:dyDescent="0.3">
      <c r="A26" s="942" t="s">
        <v>34</v>
      </c>
      <c r="B26" s="937"/>
      <c r="C26" s="938"/>
      <c r="D26" s="939"/>
      <c r="E26" s="939"/>
      <c r="F26" s="939"/>
      <c r="G26" s="940"/>
      <c r="H26" s="941">
        <f t="shared" si="0"/>
        <v>0</v>
      </c>
    </row>
    <row r="27" spans="1:8" ht="24" customHeight="1" thickBot="1" x14ac:dyDescent="0.3">
      <c r="A27" s="713"/>
      <c r="B27" s="714" t="s">
        <v>149</v>
      </c>
      <c r="C27" s="715">
        <f>SUM(C8:C26)</f>
        <v>105389917</v>
      </c>
      <c r="D27" s="715">
        <f>SUM(D8:D26)</f>
        <v>24993747</v>
      </c>
      <c r="E27" s="715">
        <f>SUM(E8:E26)</f>
        <v>22728296</v>
      </c>
      <c r="F27" s="715">
        <f>SUM(F8:F25)</f>
        <v>21918706</v>
      </c>
      <c r="G27" s="715">
        <f>SUM(G8:G25)</f>
        <v>20484350</v>
      </c>
      <c r="H27" s="718">
        <f>SUM(H8:H25)</f>
        <v>90125099</v>
      </c>
    </row>
    <row r="29" spans="1:8" x14ac:dyDescent="0.25">
      <c r="B29" s="716" t="s">
        <v>610</v>
      </c>
    </row>
    <row r="31" spans="1:8" x14ac:dyDescent="0.25">
      <c r="B31" s="717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F5" sqref="F5"/>
    </sheetView>
  </sheetViews>
  <sheetFormatPr defaultRowHeight="15" x14ac:dyDescent="0.25"/>
  <cols>
    <col min="1" max="1" width="5.6640625" style="693" customWidth="1"/>
    <col min="2" max="2" width="68.6640625" style="693" customWidth="1"/>
    <col min="3" max="3" width="19.5" style="693" customWidth="1"/>
    <col min="4" max="4" width="11.33203125" style="693" customWidth="1"/>
    <col min="5" max="16384" width="9.33203125" style="693"/>
  </cols>
  <sheetData>
    <row r="1" spans="1:4" x14ac:dyDescent="0.25">
      <c r="A1" s="1447" t="str">
        <f>CONCATENATE("6. melléklet ",ALAPADATOK!A7," ",ALAPADATOK!B7," ",ALAPADATOK!C7," ",ALAPADATOK!D7," ",ALAPADATOK!E7," ",ALAPADATOK!F7," ",ALAPADATOK!G7," ",ALAPADATOK!H7)</f>
        <v>6. melléklet a 15 / 2021. ( IX.30. ) önkormányzati rendelethez</v>
      </c>
      <c r="B1" s="1447"/>
      <c r="C1" s="1447"/>
    </row>
    <row r="3" spans="1:4" ht="33" customHeight="1" x14ac:dyDescent="0.25">
      <c r="A3" s="1448" t="s">
        <v>524</v>
      </c>
      <c r="B3" s="1448"/>
      <c r="C3" s="1448"/>
    </row>
    <row r="4" spans="1:4" ht="15.95" customHeight="1" thickBot="1" x14ac:dyDescent="0.3">
      <c r="A4" s="694"/>
      <c r="B4" s="694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65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408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66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57" t="s">
        <v>530</v>
      </c>
      <c r="B13" s="1458"/>
      <c r="C13" s="448">
        <f>SUM(C7:C12)</f>
        <v>468422173</v>
      </c>
    </row>
    <row r="14" spans="1:4" ht="23.25" customHeight="1" x14ac:dyDescent="0.25">
      <c r="A14" s="1459" t="s">
        <v>531</v>
      </c>
      <c r="B14" s="1459"/>
      <c r="C14" s="1459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C9" sqref="C9"/>
    </sheetView>
  </sheetViews>
  <sheetFormatPr defaultRowHeight="15" x14ac:dyDescent="0.25"/>
  <cols>
    <col min="1" max="1" width="5.6640625" style="693" customWidth="1"/>
    <col min="2" max="2" width="66.83203125" style="693" customWidth="1"/>
    <col min="3" max="3" width="27" style="693" customWidth="1"/>
    <col min="4" max="16384" width="9.33203125" style="693"/>
  </cols>
  <sheetData>
    <row r="1" spans="1:5" x14ac:dyDescent="0.25">
      <c r="A1" s="1447" t="str">
        <f>CONCATENATE("5. melléklet ",ALAPADATOK!A7," ",ALAPADATOK!B7," ",ALAPADATOK!C7," ",ALAPADATOK!D7," ",ALAPADATOK!E7," ",ALAPADATOK!F7," ",ALAPADATOK!G7," ",ALAPADATOK!H7)</f>
        <v>5. melléklet a 15 / 2021. ( IX.30. ) önkormányzati rendelethez</v>
      </c>
      <c r="B1" s="1447"/>
      <c r="C1" s="1447"/>
    </row>
    <row r="3" spans="1:5" ht="33" customHeight="1" x14ac:dyDescent="0.25">
      <c r="A3" s="1448" t="s">
        <v>799</v>
      </c>
      <c r="B3" s="1448"/>
      <c r="C3" s="1448"/>
    </row>
    <row r="4" spans="1:5" ht="15.95" customHeight="1" thickBot="1" x14ac:dyDescent="0.3">
      <c r="A4" s="694"/>
      <c r="B4" s="694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56" t="s">
        <v>963</v>
      </c>
      <c r="C7" s="1173">
        <v>11503705</v>
      </c>
      <c r="D7" s="1172"/>
      <c r="E7" s="1172"/>
    </row>
    <row r="8" spans="1:5" x14ac:dyDescent="0.25">
      <c r="A8" s="68" t="s">
        <v>17</v>
      </c>
      <c r="B8" s="956" t="s">
        <v>966</v>
      </c>
      <c r="C8" s="531">
        <v>7058824</v>
      </c>
    </row>
    <row r="9" spans="1:5" x14ac:dyDescent="0.25">
      <c r="A9" s="593" t="s">
        <v>18</v>
      </c>
      <c r="B9" s="529"/>
      <c r="C9" s="531"/>
    </row>
    <row r="10" spans="1:5" x14ac:dyDescent="0.25">
      <c r="A10" s="68" t="s">
        <v>19</v>
      </c>
      <c r="B10" s="945"/>
      <c r="C10" s="946"/>
    </row>
    <row r="11" spans="1:5" x14ac:dyDescent="0.25">
      <c r="A11" s="68" t="s">
        <v>20</v>
      </c>
      <c r="B11" s="944"/>
      <c r="C11" s="947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2"/>
  <sheetViews>
    <sheetView zoomScaleNormal="100" zoomScaleSheetLayoutView="100" workbookViewId="0">
      <selection activeCell="A5" sqref="A5:G60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71" customWidth="1"/>
    <col min="10" max="10" width="13.83203125" style="771" customWidth="1"/>
    <col min="11" max="11" width="12.6640625" style="771" bestFit="1" customWidth="1"/>
    <col min="12" max="12" width="12.6640625" style="771" customWidth="1"/>
    <col min="13" max="13" width="11.1640625" style="771" bestFit="1" customWidth="1"/>
    <col min="14" max="16384" width="9.33203125" style="771"/>
  </cols>
  <sheetData>
    <row r="1" spans="1:8" x14ac:dyDescent="0.2">
      <c r="A1" s="1460" t="str">
        <f>CONCATENATE("7. melléklet"," ",ALAPADATOK!A7," ",ALAPADATOK!B7," ",ALAPADATOK!C7," ",ALAPADATOK!D7," ",ALAPADATOK!E7," ",ALAPADATOK!F7," ",ALAPADATOK!G7," ",ALAPADATOK!H7)</f>
        <v>7. melléklet a 15 / 2021. ( IX.30. ) önkormányzati rendelethez</v>
      </c>
      <c r="B1" s="1460"/>
      <c r="C1" s="1460"/>
      <c r="D1" s="1460"/>
      <c r="E1" s="1460"/>
      <c r="F1" s="1460"/>
      <c r="G1" s="1460"/>
    </row>
    <row r="3" spans="1:8" ht="25.5" customHeight="1" x14ac:dyDescent="0.2">
      <c r="A3" s="1461" t="s">
        <v>4</v>
      </c>
      <c r="B3" s="1461"/>
      <c r="C3" s="1461"/>
      <c r="D3" s="1461"/>
      <c r="E3" s="1461"/>
      <c r="F3" s="1461"/>
      <c r="G3" s="1461"/>
    </row>
    <row r="4" spans="1:8" ht="22.5" customHeight="1" thickBot="1" x14ac:dyDescent="0.3">
      <c r="B4" s="1321"/>
      <c r="C4" s="1321"/>
      <c r="D4" s="1321"/>
      <c r="E4" s="1321"/>
      <c r="F4" s="1321"/>
      <c r="G4" s="1316"/>
    </row>
    <row r="5" spans="1:8" s="621" customFormat="1" ht="44.25" customHeight="1" thickBot="1" x14ac:dyDescent="0.25">
      <c r="A5" s="1044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45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43" t="s">
        <v>688</v>
      </c>
      <c r="B7" s="1046">
        <f>SUM(B8:B33)</f>
        <v>579248262</v>
      </c>
      <c r="C7" s="733"/>
      <c r="D7" s="734">
        <f t="shared" ref="D7:F7" si="0">SUM(D8:D33)</f>
        <v>68659507</v>
      </c>
      <c r="E7" s="734">
        <f t="shared" si="0"/>
        <v>48414661</v>
      </c>
      <c r="F7" s="734">
        <f t="shared" si="0"/>
        <v>462174094</v>
      </c>
      <c r="G7" s="735"/>
    </row>
    <row r="8" spans="1:8" s="628" customFormat="1" ht="15.95" customHeight="1" x14ac:dyDescent="0.2">
      <c r="A8" s="1038" t="s">
        <v>683</v>
      </c>
      <c r="B8" s="1053">
        <v>2869994</v>
      </c>
      <c r="C8" s="1054">
        <v>2021</v>
      </c>
      <c r="D8" s="1055"/>
      <c r="E8" s="1055"/>
      <c r="F8" s="1055">
        <v>2869994</v>
      </c>
      <c r="G8" s="1056">
        <f t="shared" ref="G8:G52" si="1">B8-D8-F8-E8</f>
        <v>0</v>
      </c>
    </row>
    <row r="9" spans="1:8" s="626" customFormat="1" ht="15.95" customHeight="1" x14ac:dyDescent="0.2">
      <c r="A9" s="1414" t="s">
        <v>684</v>
      </c>
      <c r="B9" s="1356">
        <f>267489554-142138515+16601097+401550</f>
        <v>142353686</v>
      </c>
      <c r="C9" s="1367" t="s">
        <v>1005</v>
      </c>
      <c r="D9" s="1355">
        <f>13586200-204600</f>
        <v>13381600</v>
      </c>
      <c r="E9" s="1355">
        <v>16601097</v>
      </c>
      <c r="F9" s="1355">
        <f>254107954-142138515+401550</f>
        <v>112370989</v>
      </c>
      <c r="G9" s="1415">
        <f t="shared" si="1"/>
        <v>0</v>
      </c>
    </row>
    <row r="10" spans="1:8" s="625" customFormat="1" ht="25.5" x14ac:dyDescent="0.2">
      <c r="A10" s="684" t="s">
        <v>685</v>
      </c>
      <c r="B10" s="958">
        <f>12274550-2533650</f>
        <v>9740900</v>
      </c>
      <c r="C10" s="959" t="s">
        <v>802</v>
      </c>
      <c r="D10" s="960">
        <v>5715000</v>
      </c>
      <c r="E10" s="960"/>
      <c r="F10" s="960">
        <v>4025900</v>
      </c>
      <c r="G10" s="722">
        <f t="shared" si="1"/>
        <v>0</v>
      </c>
    </row>
    <row r="11" spans="1:8" s="626" customFormat="1" ht="18.75" customHeight="1" x14ac:dyDescent="0.2">
      <c r="A11" s="1047" t="s">
        <v>583</v>
      </c>
      <c r="B11" s="723">
        <v>17562217</v>
      </c>
      <c r="C11" s="686" t="s">
        <v>802</v>
      </c>
      <c r="D11" s="719">
        <v>17312217</v>
      </c>
      <c r="E11" s="719"/>
      <c r="F11" s="719">
        <v>250000</v>
      </c>
      <c r="G11" s="689">
        <f t="shared" si="1"/>
        <v>0</v>
      </c>
    </row>
    <row r="12" spans="1:8" s="626" customFormat="1" ht="28.5" customHeight="1" x14ac:dyDescent="0.2">
      <c r="A12" s="1048" t="s">
        <v>584</v>
      </c>
      <c r="B12" s="851">
        <v>15969872</v>
      </c>
      <c r="C12" s="686" t="s">
        <v>617</v>
      </c>
      <c r="D12" s="719">
        <v>15874872</v>
      </c>
      <c r="E12" s="719"/>
      <c r="F12" s="719">
        <v>95000</v>
      </c>
      <c r="G12" s="689">
        <f t="shared" si="1"/>
        <v>0</v>
      </c>
    </row>
    <row r="13" spans="1:8" s="626" customFormat="1" ht="15.95" customHeight="1" x14ac:dyDescent="0.2">
      <c r="A13" s="1049" t="s">
        <v>585</v>
      </c>
      <c r="B13" s="723">
        <v>359410</v>
      </c>
      <c r="C13" s="686">
        <v>2021</v>
      </c>
      <c r="D13" s="719"/>
      <c r="E13" s="719"/>
      <c r="F13" s="719">
        <v>359410</v>
      </c>
      <c r="G13" s="689">
        <f t="shared" si="1"/>
        <v>0</v>
      </c>
    </row>
    <row r="14" spans="1:8" s="626" customFormat="1" ht="15.95" customHeight="1" x14ac:dyDescent="0.2">
      <c r="A14" s="1049" t="s">
        <v>586</v>
      </c>
      <c r="B14" s="723">
        <v>381000</v>
      </c>
      <c r="C14" s="686">
        <v>2021</v>
      </c>
      <c r="D14" s="719"/>
      <c r="E14" s="719"/>
      <c r="F14" s="719">
        <v>381000</v>
      </c>
      <c r="G14" s="724">
        <f t="shared" si="1"/>
        <v>0</v>
      </c>
    </row>
    <row r="15" spans="1:8" s="626" customFormat="1" ht="15.95" customHeight="1" x14ac:dyDescent="0.2">
      <c r="A15" s="1050" t="s">
        <v>587</v>
      </c>
      <c r="B15" s="1041">
        <v>2540000</v>
      </c>
      <c r="C15" s="1039">
        <v>2021</v>
      </c>
      <c r="D15" s="1040"/>
      <c r="E15" s="1040"/>
      <c r="F15" s="1040">
        <v>2540000</v>
      </c>
      <c r="G15" s="1042">
        <f t="shared" si="1"/>
        <v>0</v>
      </c>
    </row>
    <row r="16" spans="1:8" s="626" customFormat="1" ht="31.5" customHeight="1" x14ac:dyDescent="0.2">
      <c r="A16" s="1048" t="s">
        <v>907</v>
      </c>
      <c r="B16" s="723">
        <v>100000</v>
      </c>
      <c r="C16" s="686">
        <v>2021</v>
      </c>
      <c r="D16" s="719"/>
      <c r="E16" s="719"/>
      <c r="F16" s="719">
        <v>100000</v>
      </c>
      <c r="G16" s="724">
        <f t="shared" si="1"/>
        <v>0</v>
      </c>
    </row>
    <row r="17" spans="1:7" s="625" customFormat="1" ht="15.75" customHeight="1" x14ac:dyDescent="0.2">
      <c r="A17" s="1051" t="s">
        <v>588</v>
      </c>
      <c r="B17" s="723">
        <v>166015</v>
      </c>
      <c r="C17" s="686">
        <v>2021</v>
      </c>
      <c r="D17" s="719"/>
      <c r="E17" s="719"/>
      <c r="F17" s="719">
        <v>166015</v>
      </c>
      <c r="G17" s="724">
        <f t="shared" si="1"/>
        <v>0</v>
      </c>
    </row>
    <row r="18" spans="1:7" s="626" customFormat="1" ht="25.5" x14ac:dyDescent="0.2">
      <c r="A18" s="1049" t="s">
        <v>618</v>
      </c>
      <c r="B18" s="851">
        <f>6704583+2425</f>
        <v>6707008</v>
      </c>
      <c r="C18" s="686" t="s">
        <v>617</v>
      </c>
      <c r="D18" s="719">
        <f>1295700+3842258</f>
        <v>5137958</v>
      </c>
      <c r="E18" s="719"/>
      <c r="F18" s="719">
        <f>1566625+2425</f>
        <v>1569050</v>
      </c>
      <c r="G18" s="724">
        <f t="shared" si="1"/>
        <v>0</v>
      </c>
    </row>
    <row r="19" spans="1:7" s="627" customFormat="1" ht="29.25" customHeight="1" x14ac:dyDescent="0.2">
      <c r="A19" s="1052" t="s">
        <v>908</v>
      </c>
      <c r="B19" s="725">
        <v>127000</v>
      </c>
      <c r="C19" s="726">
        <v>2021</v>
      </c>
      <c r="D19" s="727"/>
      <c r="E19" s="727"/>
      <c r="F19" s="727">
        <v>127000</v>
      </c>
      <c r="G19" s="685">
        <f t="shared" si="1"/>
        <v>0</v>
      </c>
    </row>
    <row r="20" spans="1:7" s="627" customFormat="1" ht="25.5" x14ac:dyDescent="0.2">
      <c r="A20" s="1409" t="s">
        <v>997</v>
      </c>
      <c r="B20" s="1351">
        <f>1369240+500000-50800</f>
        <v>1818440</v>
      </c>
      <c r="C20" s="726" t="s">
        <v>911</v>
      </c>
      <c r="D20" s="727">
        <v>455240</v>
      </c>
      <c r="E20" s="727"/>
      <c r="F20" s="1353">
        <f>914000+500000-50800</f>
        <v>1363200</v>
      </c>
      <c r="G20" s="728">
        <f t="shared" si="1"/>
        <v>0</v>
      </c>
    </row>
    <row r="21" spans="1:7" s="625" customFormat="1" x14ac:dyDescent="0.2">
      <c r="A21" s="1049" t="s">
        <v>597</v>
      </c>
      <c r="B21" s="851">
        <v>355600</v>
      </c>
      <c r="C21" s="686">
        <v>2021</v>
      </c>
      <c r="D21" s="719"/>
      <c r="E21" s="719"/>
      <c r="F21" s="719">
        <v>355600</v>
      </c>
      <c r="G21" s="724">
        <f t="shared" si="1"/>
        <v>0</v>
      </c>
    </row>
    <row r="22" spans="1:7" s="628" customFormat="1" ht="15.75" customHeight="1" x14ac:dyDescent="0.2">
      <c r="A22" s="1049" t="s">
        <v>686</v>
      </c>
      <c r="B22" s="851">
        <v>30000000</v>
      </c>
      <c r="C22" s="686" t="s">
        <v>802</v>
      </c>
      <c r="D22" s="719">
        <v>2679620</v>
      </c>
      <c r="E22" s="719"/>
      <c r="F22" s="719">
        <v>27320380</v>
      </c>
      <c r="G22" s="724">
        <f t="shared" si="1"/>
        <v>0</v>
      </c>
    </row>
    <row r="23" spans="1:7" s="627" customFormat="1" ht="15.75" customHeight="1" x14ac:dyDescent="0.2">
      <c r="A23" s="1049" t="s">
        <v>687</v>
      </c>
      <c r="B23" s="948">
        <v>162236150</v>
      </c>
      <c r="C23" s="726" t="s">
        <v>802</v>
      </c>
      <c r="D23" s="727">
        <v>8103000</v>
      </c>
      <c r="E23" s="727">
        <f>10800000+11255853</f>
        <v>22055853</v>
      </c>
      <c r="F23" s="727">
        <v>132077297</v>
      </c>
      <c r="G23" s="728">
        <f t="shared" si="1"/>
        <v>0</v>
      </c>
    </row>
    <row r="24" spans="1:7" s="630" customFormat="1" ht="15.75" customHeight="1" x14ac:dyDescent="0.2">
      <c r="A24" s="1049" t="s">
        <v>906</v>
      </c>
      <c r="B24" s="851">
        <f>97575000+1809000</f>
        <v>99384000</v>
      </c>
      <c r="C24" s="686" t="s">
        <v>804</v>
      </c>
      <c r="D24" s="719"/>
      <c r="E24" s="719"/>
      <c r="F24" s="719">
        <f>97575000+1809000</f>
        <v>99384000</v>
      </c>
      <c r="G24" s="724">
        <f t="shared" si="1"/>
        <v>0</v>
      </c>
    </row>
    <row r="25" spans="1:7" s="630" customFormat="1" ht="15.75" customHeight="1" x14ac:dyDescent="0.2">
      <c r="A25" s="1049" t="s">
        <v>781</v>
      </c>
      <c r="B25" s="851">
        <v>1017270</v>
      </c>
      <c r="C25" s="686">
        <v>2021</v>
      </c>
      <c r="D25" s="719"/>
      <c r="E25" s="719"/>
      <c r="F25" s="719">
        <v>1017270</v>
      </c>
      <c r="G25" s="724">
        <f t="shared" si="1"/>
        <v>0</v>
      </c>
    </row>
    <row r="26" spans="1:7" s="630" customFormat="1" ht="15.75" customHeight="1" x14ac:dyDescent="0.2">
      <c r="A26" s="1242" t="s">
        <v>982</v>
      </c>
      <c r="B26" s="948">
        <v>254000</v>
      </c>
      <c r="C26" s="726" t="s">
        <v>941</v>
      </c>
      <c r="D26" s="727"/>
      <c r="E26" s="727"/>
      <c r="F26" s="727">
        <v>254000</v>
      </c>
      <c r="G26" s="728">
        <f t="shared" si="1"/>
        <v>0</v>
      </c>
    </row>
    <row r="27" spans="1:7" s="630" customFormat="1" ht="15.75" customHeight="1" x14ac:dyDescent="0.2">
      <c r="A27" s="1242" t="s">
        <v>787</v>
      </c>
      <c r="B27" s="1351">
        <f>10147300+1707640</f>
        <v>11854940</v>
      </c>
      <c r="C27" s="726" t="s">
        <v>803</v>
      </c>
      <c r="D27" s="727"/>
      <c r="E27" s="727"/>
      <c r="F27" s="1353">
        <f>10147300+1707640</f>
        <v>11854940</v>
      </c>
      <c r="G27" s="728">
        <f t="shared" ref="G27" si="2">B27-D27-F27-E27</f>
        <v>0</v>
      </c>
    </row>
    <row r="28" spans="1:7" s="630" customFormat="1" ht="33" customHeight="1" x14ac:dyDescent="0.2">
      <c r="A28" s="1242" t="s">
        <v>986</v>
      </c>
      <c r="B28" s="948">
        <v>9195000</v>
      </c>
      <c r="C28" s="726" t="s">
        <v>941</v>
      </c>
      <c r="D28" s="727"/>
      <c r="E28" s="727"/>
      <c r="F28" s="727">
        <v>9195000</v>
      </c>
      <c r="G28" s="728">
        <f t="shared" si="1"/>
        <v>0</v>
      </c>
    </row>
    <row r="29" spans="1:7" s="630" customFormat="1" x14ac:dyDescent="0.2">
      <c r="A29" s="1350" t="s">
        <v>1071</v>
      </c>
      <c r="B29" s="1351">
        <v>4293870</v>
      </c>
      <c r="C29" s="1352" t="s">
        <v>941</v>
      </c>
      <c r="D29" s="1353"/>
      <c r="E29" s="1353"/>
      <c r="F29" s="1353">
        <v>4293870</v>
      </c>
      <c r="G29" s="1354">
        <f t="shared" si="1"/>
        <v>0</v>
      </c>
    </row>
    <row r="30" spans="1:7" s="630" customFormat="1" ht="33" customHeight="1" x14ac:dyDescent="0.2">
      <c r="A30" s="1242" t="s">
        <v>996</v>
      </c>
      <c r="B30" s="948">
        <f>39476378+212598+10311024</f>
        <v>50000000</v>
      </c>
      <c r="C30" s="726" t="s">
        <v>804</v>
      </c>
      <c r="D30" s="727"/>
      <c r="E30" s="1353">
        <f>10311024-553313</f>
        <v>9757711</v>
      </c>
      <c r="F30" s="1353">
        <f>39688976-1234646+1574803+213156</f>
        <v>40242289</v>
      </c>
      <c r="G30" s="728"/>
    </row>
    <row r="31" spans="1:7" s="630" customFormat="1" ht="25.5" x14ac:dyDescent="0.2">
      <c r="A31" s="1350" t="s">
        <v>998</v>
      </c>
      <c r="B31" s="1351">
        <f>2360000+637200</f>
        <v>2997200</v>
      </c>
      <c r="C31" s="1352" t="s">
        <v>804</v>
      </c>
      <c r="D31" s="1353"/>
      <c r="E31" s="1353"/>
      <c r="F31" s="1353">
        <v>2997200</v>
      </c>
      <c r="G31" s="1354"/>
    </row>
    <row r="32" spans="1:7" s="630" customFormat="1" ht="25.5" x14ac:dyDescent="0.2">
      <c r="A32" s="1350" t="s">
        <v>999</v>
      </c>
      <c r="B32" s="1351">
        <f>3937008+1062992</f>
        <v>5000000</v>
      </c>
      <c r="C32" s="1352" t="s">
        <v>804</v>
      </c>
      <c r="D32" s="1353"/>
      <c r="E32" s="1353"/>
      <c r="F32" s="1353">
        <v>5000000</v>
      </c>
      <c r="G32" s="1354"/>
    </row>
    <row r="33" spans="1:7" s="630" customFormat="1" ht="26.25" thickBot="1" x14ac:dyDescent="0.25">
      <c r="A33" s="1350" t="s">
        <v>1001</v>
      </c>
      <c r="B33" s="1351">
        <f>1547000+417690</f>
        <v>1964690</v>
      </c>
      <c r="C33" s="1352" t="s">
        <v>804</v>
      </c>
      <c r="D33" s="1353"/>
      <c r="E33" s="1353"/>
      <c r="F33" s="1353">
        <f>1547000+417690</f>
        <v>1964690</v>
      </c>
      <c r="G33" s="1354"/>
    </row>
    <row r="34" spans="1:7" s="626" customFormat="1" ht="13.5" thickBot="1" x14ac:dyDescent="0.25">
      <c r="A34" s="1060" t="s">
        <v>735</v>
      </c>
      <c r="B34" s="1061">
        <f>SUM(B35:B37)</f>
        <v>2765199</v>
      </c>
      <c r="C34" s="1062"/>
      <c r="D34" s="1063"/>
      <c r="E34" s="1063"/>
      <c r="F34" s="1063">
        <f>SUM(F35:F37)</f>
        <v>2765199</v>
      </c>
      <c r="G34" s="1064">
        <f t="shared" si="1"/>
        <v>0</v>
      </c>
    </row>
    <row r="35" spans="1:7" s="625" customFormat="1" x14ac:dyDescent="0.2">
      <c r="A35" s="1331" t="s">
        <v>581</v>
      </c>
      <c r="B35" s="1057">
        <v>1009999</v>
      </c>
      <c r="C35" s="1039">
        <v>2021</v>
      </c>
      <c r="D35" s="1058"/>
      <c r="E35" s="1058"/>
      <c r="F35" s="1058">
        <v>1009999</v>
      </c>
      <c r="G35" s="1059">
        <f t="shared" si="1"/>
        <v>0</v>
      </c>
    </row>
    <row r="36" spans="1:7" s="626" customFormat="1" x14ac:dyDescent="0.2">
      <c r="A36" s="1332" t="s">
        <v>733</v>
      </c>
      <c r="B36" s="721">
        <v>967100</v>
      </c>
      <c r="C36" s="686">
        <v>2021</v>
      </c>
      <c r="D36" s="719"/>
      <c r="E36" s="719"/>
      <c r="F36" s="719">
        <v>967100</v>
      </c>
      <c r="G36" s="729">
        <f t="shared" si="1"/>
        <v>0</v>
      </c>
    </row>
    <row r="37" spans="1:7" s="626" customFormat="1" ht="27" customHeight="1" thickBot="1" x14ac:dyDescent="0.25">
      <c r="A37" s="1333" t="s">
        <v>909</v>
      </c>
      <c r="B37" s="730">
        <v>788100</v>
      </c>
      <c r="C37" s="691">
        <v>2021</v>
      </c>
      <c r="D37" s="731"/>
      <c r="E37" s="731"/>
      <c r="F37" s="731">
        <v>788100</v>
      </c>
      <c r="G37" s="732">
        <f t="shared" si="1"/>
        <v>0</v>
      </c>
    </row>
    <row r="38" spans="1:7" s="627" customFormat="1" ht="15.75" customHeight="1" thickBot="1" x14ac:dyDescent="0.25">
      <c r="A38" s="1334" t="s">
        <v>736</v>
      </c>
      <c r="B38" s="1155">
        <f>SUM(B39:B39)</f>
        <v>0</v>
      </c>
      <c r="C38" s="1156"/>
      <c r="D38" s="1157"/>
      <c r="E38" s="1158"/>
      <c r="F38" s="1155">
        <f>SUM(F39:F39)</f>
        <v>0</v>
      </c>
      <c r="G38" s="1159">
        <f t="shared" si="1"/>
        <v>0</v>
      </c>
    </row>
    <row r="39" spans="1:7" s="627" customFormat="1" ht="13.5" thickBot="1" x14ac:dyDescent="0.25">
      <c r="A39" s="1335"/>
      <c r="B39" s="1149"/>
      <c r="C39" s="1150"/>
      <c r="D39" s="1151"/>
      <c r="E39" s="1151"/>
      <c r="F39" s="1151"/>
      <c r="G39" s="1160">
        <f t="shared" si="1"/>
        <v>0</v>
      </c>
    </row>
    <row r="40" spans="1:7" s="628" customFormat="1" ht="15.75" customHeight="1" thickBot="1" x14ac:dyDescent="0.25">
      <c r="A40" s="1334" t="s">
        <v>737</v>
      </c>
      <c r="B40" s="1155">
        <f>SUM(B41:B41)</f>
        <v>800000</v>
      </c>
      <c r="C40" s="1161"/>
      <c r="D40" s="1155">
        <f>SUM(D41:D41)</f>
        <v>0</v>
      </c>
      <c r="E40" s="1155"/>
      <c r="F40" s="1155">
        <f>SUM(F41:F41)</f>
        <v>800000</v>
      </c>
      <c r="G40" s="651">
        <f t="shared" si="1"/>
        <v>0</v>
      </c>
    </row>
    <row r="41" spans="1:7" s="627" customFormat="1" ht="15.75" customHeight="1" thickBot="1" x14ac:dyDescent="0.25">
      <c r="A41" s="1336" t="s">
        <v>696</v>
      </c>
      <c r="B41" s="1143">
        <v>800000</v>
      </c>
      <c r="C41" s="1144">
        <v>2021</v>
      </c>
      <c r="D41" s="1145"/>
      <c r="E41" s="1145"/>
      <c r="F41" s="1145">
        <v>800000</v>
      </c>
      <c r="G41" s="1153">
        <f t="shared" si="1"/>
        <v>0</v>
      </c>
    </row>
    <row r="42" spans="1:7" s="626" customFormat="1" ht="15.75" customHeight="1" thickBot="1" x14ac:dyDescent="0.25">
      <c r="A42" s="1337" t="s">
        <v>738</v>
      </c>
      <c r="B42" s="1155">
        <f>SUM(B43:B50)</f>
        <v>59385146</v>
      </c>
      <c r="C42" s="1161"/>
      <c r="D42" s="1155">
        <f>SUM(D43:D50)</f>
        <v>0</v>
      </c>
      <c r="E42" s="1155"/>
      <c r="F42" s="1155">
        <f>SUM(F43:F50)</f>
        <v>59385146</v>
      </c>
      <c r="G42" s="651">
        <f t="shared" si="1"/>
        <v>0</v>
      </c>
    </row>
    <row r="43" spans="1:7" s="626" customFormat="1" ht="15.75" customHeight="1" x14ac:dyDescent="0.2">
      <c r="A43" s="1338" t="s">
        <v>698</v>
      </c>
      <c r="B43" s="1143">
        <v>2828812</v>
      </c>
      <c r="C43" s="1144">
        <v>2021</v>
      </c>
      <c r="D43" s="1145"/>
      <c r="E43" s="1145"/>
      <c r="F43" s="1145">
        <v>2828812</v>
      </c>
      <c r="G43" s="1152">
        <f t="shared" si="1"/>
        <v>0</v>
      </c>
    </row>
    <row r="44" spans="1:7" s="626" customFormat="1" ht="15.75" customHeight="1" x14ac:dyDescent="0.2">
      <c r="A44" s="1410" t="s">
        <v>1070</v>
      </c>
      <c r="B44" s="1411">
        <v>112338</v>
      </c>
      <c r="C44" s="1412" t="s">
        <v>941</v>
      </c>
      <c r="D44" s="1323"/>
      <c r="E44" s="1323"/>
      <c r="F44" s="1323">
        <v>112338</v>
      </c>
      <c r="G44" s="1413"/>
    </row>
    <row r="45" spans="1:7" s="648" customFormat="1" ht="15.75" customHeight="1" x14ac:dyDescent="0.2">
      <c r="A45" s="1338" t="s">
        <v>937</v>
      </c>
      <c r="B45" s="1143">
        <v>311150</v>
      </c>
      <c r="C45" s="1144">
        <v>2021</v>
      </c>
      <c r="D45" s="1145"/>
      <c r="E45" s="1145"/>
      <c r="F45" s="1145">
        <v>311150</v>
      </c>
      <c r="G45" s="1153">
        <f t="shared" si="1"/>
        <v>0</v>
      </c>
    </row>
    <row r="46" spans="1:7" s="628" customFormat="1" ht="15.75" customHeight="1" x14ac:dyDescent="0.2">
      <c r="A46" s="1338" t="s">
        <v>938</v>
      </c>
      <c r="B46" s="1143">
        <v>47083234</v>
      </c>
      <c r="C46" s="1144">
        <v>2021</v>
      </c>
      <c r="D46" s="1145"/>
      <c r="E46" s="1145"/>
      <c r="F46" s="1145">
        <v>47083234</v>
      </c>
      <c r="G46" s="1153">
        <f t="shared" si="1"/>
        <v>0</v>
      </c>
    </row>
    <row r="47" spans="1:7" s="628" customFormat="1" ht="15.75" customHeight="1" x14ac:dyDescent="0.2">
      <c r="A47" s="1339" t="s">
        <v>939</v>
      </c>
      <c r="B47" s="1411">
        <f>2197788+1</f>
        <v>2197789</v>
      </c>
      <c r="C47" s="1147">
        <v>2021</v>
      </c>
      <c r="D47" s="1148"/>
      <c r="E47" s="1148"/>
      <c r="F47" s="1323">
        <f>2197788+1</f>
        <v>2197789</v>
      </c>
      <c r="G47" s="1153">
        <f t="shared" si="1"/>
        <v>0</v>
      </c>
    </row>
    <row r="48" spans="1:7" s="628" customFormat="1" ht="15.75" customHeight="1" x14ac:dyDescent="0.2">
      <c r="A48" s="1339" t="s">
        <v>940</v>
      </c>
      <c r="B48" s="1143">
        <v>1631608</v>
      </c>
      <c r="C48" s="1144">
        <v>2021</v>
      </c>
      <c r="D48" s="1145"/>
      <c r="E48" s="1145"/>
      <c r="F48" s="1145">
        <v>1631608</v>
      </c>
      <c r="G48" s="1228">
        <f t="shared" si="1"/>
        <v>0</v>
      </c>
    </row>
    <row r="49" spans="1:7" s="628" customFormat="1" ht="15.75" customHeight="1" x14ac:dyDescent="0.2">
      <c r="A49" s="1340" t="s">
        <v>980</v>
      </c>
      <c r="B49" s="1143">
        <v>1201000</v>
      </c>
      <c r="C49" s="1144" t="s">
        <v>941</v>
      </c>
      <c r="D49" s="1145"/>
      <c r="E49" s="1145"/>
      <c r="F49" s="1145">
        <v>1201000</v>
      </c>
      <c r="G49" s="1228">
        <v>0</v>
      </c>
    </row>
    <row r="50" spans="1:7" s="628" customFormat="1" ht="15.75" customHeight="1" thickBot="1" x14ac:dyDescent="0.25">
      <c r="A50" s="1340" t="s">
        <v>940</v>
      </c>
      <c r="B50" s="1143">
        <v>4019215</v>
      </c>
      <c r="C50" s="1144">
        <v>2021</v>
      </c>
      <c r="D50" s="1145"/>
      <c r="E50" s="1145"/>
      <c r="F50" s="1145">
        <v>4019215</v>
      </c>
      <c r="G50" s="1153">
        <f t="shared" si="1"/>
        <v>0</v>
      </c>
    </row>
    <row r="51" spans="1:7" s="649" customFormat="1" ht="35.25" customHeight="1" thickBot="1" x14ac:dyDescent="0.25">
      <c r="A51" s="1341" t="s">
        <v>740</v>
      </c>
      <c r="B51" s="1155">
        <f>SUM(B52:B55)</f>
        <v>22542737</v>
      </c>
      <c r="C51" s="1161"/>
      <c r="D51" s="1155">
        <f>SUM(D52:D55)</f>
        <v>0</v>
      </c>
      <c r="E51" s="1155"/>
      <c r="F51" s="1155">
        <f>SUM(F52:F55)</f>
        <v>22542737</v>
      </c>
      <c r="G51" s="651">
        <f t="shared" si="1"/>
        <v>0</v>
      </c>
    </row>
    <row r="52" spans="1:7" s="628" customFormat="1" ht="21" customHeight="1" x14ac:dyDescent="0.2">
      <c r="A52" s="1342" t="s">
        <v>696</v>
      </c>
      <c r="B52" s="1220">
        <f>4720850-195000</f>
        <v>4525850</v>
      </c>
      <c r="C52" s="1219" t="s">
        <v>941</v>
      </c>
      <c r="D52" s="1222"/>
      <c r="E52" s="1222"/>
      <c r="F52" s="1222">
        <f>4720850-195000</f>
        <v>4525850</v>
      </c>
      <c r="G52" s="1152">
        <f t="shared" si="1"/>
        <v>0</v>
      </c>
    </row>
    <row r="53" spans="1:7" s="628" customFormat="1" ht="21" customHeight="1" x14ac:dyDescent="0.2">
      <c r="A53" s="1340" t="s">
        <v>942</v>
      </c>
      <c r="B53" s="1143">
        <f>1092200+101600</f>
        <v>1193800</v>
      </c>
      <c r="C53" s="1144" t="s">
        <v>802</v>
      </c>
      <c r="D53" s="1145">
        <v>0</v>
      </c>
      <c r="E53" s="1145"/>
      <c r="F53" s="1145">
        <f>1092200+101600</f>
        <v>1193800</v>
      </c>
      <c r="G53" s="1153"/>
    </row>
    <row r="54" spans="1:7" s="628" customFormat="1" ht="21" customHeight="1" x14ac:dyDescent="0.2">
      <c r="A54" s="1343" t="s">
        <v>943</v>
      </c>
      <c r="B54" s="1146">
        <f>8884581+9062206-1206500</f>
        <v>16740287</v>
      </c>
      <c r="C54" s="1147" t="s">
        <v>941</v>
      </c>
      <c r="D54" s="1323"/>
      <c r="E54" s="1324"/>
      <c r="F54" s="1146">
        <f>8884581+9062206-1206500</f>
        <v>16740287</v>
      </c>
      <c r="G54" s="1228"/>
    </row>
    <row r="55" spans="1:7" s="628" customFormat="1" ht="21" customHeight="1" thickBot="1" x14ac:dyDescent="0.25">
      <c r="A55" s="1340" t="s">
        <v>944</v>
      </c>
      <c r="B55" s="1143">
        <v>82800</v>
      </c>
      <c r="C55" s="1144" t="s">
        <v>941</v>
      </c>
      <c r="D55" s="1145"/>
      <c r="E55" s="1154"/>
      <c r="F55" s="1143">
        <v>82800</v>
      </c>
      <c r="G55" s="1153"/>
    </row>
    <row r="56" spans="1:7" s="626" customFormat="1" ht="21" customHeight="1" thickBot="1" x14ac:dyDescent="0.25">
      <c r="A56" s="1344" t="s">
        <v>739</v>
      </c>
      <c r="B56" s="1162">
        <f>SUM(B57:B58)</f>
        <v>275000</v>
      </c>
      <c r="C56" s="1163"/>
      <c r="D56" s="1162">
        <f>SUM(D57:D57)</f>
        <v>0</v>
      </c>
      <c r="E56" s="1162"/>
      <c r="F56" s="1162">
        <f>SUM(F57:F58)</f>
        <v>275000</v>
      </c>
      <c r="G56" s="1164">
        <f t="shared" ref="G56:G60" si="3">B56-D56-F56-E56</f>
        <v>0</v>
      </c>
    </row>
    <row r="57" spans="1:7" s="625" customFormat="1" ht="19.5" customHeight="1" x14ac:dyDescent="0.2">
      <c r="A57" s="1345" t="s">
        <v>945</v>
      </c>
      <c r="B57" s="1347">
        <v>25000</v>
      </c>
      <c r="C57" s="1218">
        <v>2021</v>
      </c>
      <c r="D57" s="1217"/>
      <c r="E57" s="1217"/>
      <c r="F57" s="1217">
        <v>25000</v>
      </c>
      <c r="G57" s="1183">
        <f t="shared" si="3"/>
        <v>0</v>
      </c>
    </row>
    <row r="58" spans="1:7" s="625" customFormat="1" ht="19.5" customHeight="1" thickBot="1" x14ac:dyDescent="0.25">
      <c r="A58" s="1346" t="s">
        <v>967</v>
      </c>
      <c r="B58" s="1348">
        <f>200000+50000</f>
        <v>250000</v>
      </c>
      <c r="C58" s="1216" t="s">
        <v>941</v>
      </c>
      <c r="D58" s="1221"/>
      <c r="E58" s="1221"/>
      <c r="F58" s="1221">
        <f>200000+50000</f>
        <v>250000</v>
      </c>
      <c r="G58" s="1182"/>
    </row>
    <row r="59" spans="1:7" s="626" customFormat="1" ht="19.5" customHeight="1" thickBot="1" x14ac:dyDescent="0.25">
      <c r="A59" s="650" t="s">
        <v>695</v>
      </c>
      <c r="B59" s="1349">
        <f>B56+B51+B42+B40+B38+B34</f>
        <v>85768082</v>
      </c>
      <c r="C59" s="720"/>
      <c r="D59" s="720">
        <f>D56+D51+D42+D40+D38+D34</f>
        <v>0</v>
      </c>
      <c r="E59" s="720"/>
      <c r="F59" s="720">
        <f>F56+F51+F42+F40+F38+F34</f>
        <v>85768082</v>
      </c>
      <c r="G59" s="651">
        <f t="shared" si="3"/>
        <v>0</v>
      </c>
    </row>
    <row r="60" spans="1:7" s="626" customFormat="1" ht="19.5" customHeight="1" thickBot="1" x14ac:dyDescent="0.25">
      <c r="A60" s="650" t="s">
        <v>741</v>
      </c>
      <c r="B60" s="1349">
        <f>B59+B7</f>
        <v>665016344</v>
      </c>
      <c r="C60" s="720"/>
      <c r="D60" s="720">
        <f>D59+D7</f>
        <v>68659507</v>
      </c>
      <c r="E60" s="720">
        <f>+E59+E7</f>
        <v>48414661</v>
      </c>
      <c r="F60" s="720">
        <f>F59+F7</f>
        <v>547942176</v>
      </c>
      <c r="G60" s="651">
        <f t="shared" si="3"/>
        <v>0</v>
      </c>
    </row>
    <row r="61" spans="1:7" x14ac:dyDescent="0.2">
      <c r="F61" s="626">
        <f>'1.1.sz.mell. '!C121</f>
        <v>547942176</v>
      </c>
    </row>
    <row r="62" spans="1:7" x14ac:dyDescent="0.2">
      <c r="F62" s="626">
        <f>F60-F61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0"/>
  <sheetViews>
    <sheetView topLeftCell="A10" zoomScaleNormal="100" zoomScaleSheetLayoutView="115" workbookViewId="0">
      <selection activeCell="A5" sqref="A5:G29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71" customWidth="1"/>
    <col min="10" max="10" width="13.83203125" style="771" customWidth="1"/>
    <col min="11" max="16384" width="9.33203125" style="771"/>
  </cols>
  <sheetData>
    <row r="1" spans="1:8" s="630" customFormat="1" ht="15.75" x14ac:dyDescent="0.2">
      <c r="A1" s="1462" t="str">
        <f>CONCATENATE("8. melléklet"," ",ALAPADATOK!A7," ",ALAPADATOK!B7," ",ALAPADATOK!C7," ",ALAPADATOK!D7," ",ALAPADATOK!E7," ",ALAPADATOK!F7," ",ALAPADATOK!G7," ",ALAPADATOK!H7)</f>
        <v>8. melléklet a 15 / 2021. ( IX.30. ) önkormányzati rendelethez</v>
      </c>
      <c r="B1" s="1462"/>
      <c r="C1" s="1462"/>
      <c r="D1" s="1462"/>
      <c r="E1" s="1462"/>
      <c r="F1" s="1462"/>
      <c r="G1" s="1462"/>
    </row>
    <row r="3" spans="1:8" ht="24.75" customHeight="1" x14ac:dyDescent="0.2">
      <c r="A3" s="1463" t="s">
        <v>5</v>
      </c>
      <c r="B3" s="1463"/>
      <c r="C3" s="1463"/>
      <c r="D3" s="1463"/>
      <c r="E3" s="1463"/>
      <c r="F3" s="1463"/>
      <c r="G3" s="1463"/>
    </row>
    <row r="4" spans="1:8" ht="23.25" customHeight="1" thickBot="1" x14ac:dyDescent="0.3">
      <c r="B4" s="1322"/>
      <c r="C4" s="1322"/>
      <c r="D4" s="1322"/>
      <c r="E4" s="1322"/>
      <c r="F4" s="1322"/>
      <c r="G4" s="1317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64" t="s">
        <v>598</v>
      </c>
      <c r="B7" s="1465"/>
      <c r="C7" s="1465"/>
      <c r="D7" s="1465"/>
      <c r="E7" s="1465"/>
      <c r="F7" s="1465"/>
      <c r="G7" s="1466"/>
    </row>
    <row r="8" spans="1:8" s="625" customFormat="1" ht="15.95" customHeight="1" x14ac:dyDescent="0.2">
      <c r="A8" s="1357" t="s">
        <v>684</v>
      </c>
      <c r="B8" s="1243">
        <f>80112238+101702816+14410</f>
        <v>181829464</v>
      </c>
      <c r="C8" s="686" t="s">
        <v>1005</v>
      </c>
      <c r="D8" s="687">
        <v>80000</v>
      </c>
      <c r="E8" s="687">
        <v>27198151</v>
      </c>
      <c r="F8" s="1244">
        <f>80032238+101702816+14410</f>
        <v>181749464</v>
      </c>
      <c r="G8" s="689">
        <f>B8-D8-F8</f>
        <v>0</v>
      </c>
    </row>
    <row r="9" spans="1:8" ht="15.95" customHeight="1" x14ac:dyDescent="0.2">
      <c r="A9" s="1357" t="s">
        <v>582</v>
      </c>
      <c r="B9" s="1165">
        <v>6350000</v>
      </c>
      <c r="C9" s="686">
        <v>2021</v>
      </c>
      <c r="D9" s="687"/>
      <c r="E9" s="687"/>
      <c r="F9" s="687">
        <v>6350000</v>
      </c>
      <c r="G9" s="689">
        <f t="shared" ref="G9:G13" si="0">B9-D9-F9</f>
        <v>0</v>
      </c>
    </row>
    <row r="10" spans="1:8" s="318" customFormat="1" ht="15.95" customHeight="1" x14ac:dyDescent="0.2">
      <c r="A10" s="1357" t="s">
        <v>619</v>
      </c>
      <c r="B10" s="1165">
        <f>48292993+677185+322815+317500-202993-2424</f>
        <v>49405076</v>
      </c>
      <c r="C10" s="686" t="s">
        <v>617</v>
      </c>
      <c r="D10" s="687">
        <f>36051833-1206500+14559743</f>
        <v>49405076</v>
      </c>
      <c r="E10" s="687"/>
      <c r="F10" s="687">
        <v>0</v>
      </c>
      <c r="G10" s="689">
        <f t="shared" si="0"/>
        <v>0</v>
      </c>
    </row>
    <row r="11" spans="1:8" ht="15.95" customHeight="1" x14ac:dyDescent="0.2">
      <c r="A11" s="1357" t="s">
        <v>913</v>
      </c>
      <c r="B11" s="1165">
        <v>5080000</v>
      </c>
      <c r="C11" s="686" t="s">
        <v>911</v>
      </c>
      <c r="D11" s="687"/>
      <c r="E11" s="687"/>
      <c r="F11" s="687">
        <v>5080000</v>
      </c>
      <c r="G11" s="689">
        <f t="shared" si="0"/>
        <v>0</v>
      </c>
    </row>
    <row r="12" spans="1:8" ht="15.95" customHeight="1" x14ac:dyDescent="0.2">
      <c r="A12" s="1357" t="s">
        <v>910</v>
      </c>
      <c r="B12" s="1165">
        <v>1397000</v>
      </c>
      <c r="C12" s="686">
        <v>2021</v>
      </c>
      <c r="D12" s="687"/>
      <c r="E12" s="687"/>
      <c r="F12" s="687">
        <v>1397000</v>
      </c>
      <c r="G12" s="689">
        <f t="shared" si="0"/>
        <v>0</v>
      </c>
    </row>
    <row r="13" spans="1:8" x14ac:dyDescent="0.2">
      <c r="A13" s="1418" t="s">
        <v>734</v>
      </c>
      <c r="B13" s="1243">
        <v>0</v>
      </c>
      <c r="C13" s="1214">
        <v>2021</v>
      </c>
      <c r="D13" s="1244"/>
      <c r="E13" s="1244"/>
      <c r="F13" s="1244">
        <v>0</v>
      </c>
      <c r="G13" s="1215">
        <f t="shared" si="0"/>
        <v>0</v>
      </c>
    </row>
    <row r="14" spans="1:8" x14ac:dyDescent="0.2">
      <c r="A14" s="1418" t="s">
        <v>1073</v>
      </c>
      <c r="B14" s="1243">
        <f>4100000+1107000</f>
        <v>5207000</v>
      </c>
      <c r="C14" s="1214" t="s">
        <v>941</v>
      </c>
      <c r="D14" s="1244"/>
      <c r="E14" s="1244"/>
      <c r="F14" s="1243">
        <f>4100000+1107000</f>
        <v>5207000</v>
      </c>
      <c r="G14" s="1215"/>
    </row>
    <row r="15" spans="1:8" x14ac:dyDescent="0.2">
      <c r="A15" s="1416" t="s">
        <v>1003</v>
      </c>
      <c r="B15" s="1165">
        <v>46014821</v>
      </c>
      <c r="C15" s="686" t="s">
        <v>911</v>
      </c>
      <c r="D15" s="687"/>
      <c r="E15" s="687"/>
      <c r="F15" s="687">
        <v>46014821</v>
      </c>
      <c r="G15" s="724">
        <f t="shared" ref="G15:G17" si="1">B15-D15-F15</f>
        <v>0</v>
      </c>
    </row>
    <row r="16" spans="1:8" x14ac:dyDescent="0.2">
      <c r="A16" s="1417" t="s">
        <v>1004</v>
      </c>
      <c r="B16" s="1165">
        <f>47940700-1062168-286785</f>
        <v>46591747</v>
      </c>
      <c r="C16" s="686" t="s">
        <v>804</v>
      </c>
      <c r="D16" s="687"/>
      <c r="E16" s="687"/>
      <c r="F16" s="687">
        <f>36786462+9805285</f>
        <v>46591747</v>
      </c>
      <c r="G16" s="724"/>
    </row>
    <row r="17" spans="1:7" x14ac:dyDescent="0.2">
      <c r="A17" s="1358" t="s">
        <v>787</v>
      </c>
      <c r="B17" s="1243">
        <f>216942416-800-853131-849509</f>
        <v>215238976</v>
      </c>
      <c r="C17" s="686" t="s">
        <v>803</v>
      </c>
      <c r="D17" s="687">
        <v>6286500</v>
      </c>
      <c r="E17" s="687"/>
      <c r="F17" s="1244">
        <f>216942416-800-6286500-1702640</f>
        <v>208952476</v>
      </c>
      <c r="G17" s="724">
        <f t="shared" si="1"/>
        <v>0</v>
      </c>
    </row>
    <row r="18" spans="1:7" x14ac:dyDescent="0.2">
      <c r="A18" s="1358" t="s">
        <v>791</v>
      </c>
      <c r="B18" s="1165">
        <v>5627218</v>
      </c>
      <c r="C18" s="686" t="s">
        <v>912</v>
      </c>
      <c r="D18" s="687"/>
      <c r="E18" s="687"/>
      <c r="F18" s="687">
        <v>2813609</v>
      </c>
      <c r="G18" s="724">
        <f t="shared" ref="G18" si="2">B18-D18-F18</f>
        <v>2813609</v>
      </c>
    </row>
    <row r="19" spans="1:7" x14ac:dyDescent="0.2">
      <c r="A19" s="1358" t="s">
        <v>988</v>
      </c>
      <c r="B19" s="1165">
        <v>540000</v>
      </c>
      <c r="C19" s="686" t="s">
        <v>941</v>
      </c>
      <c r="D19" s="687"/>
      <c r="E19" s="687"/>
      <c r="F19" s="687">
        <v>540000</v>
      </c>
      <c r="G19" s="724"/>
    </row>
    <row r="20" spans="1:7" x14ac:dyDescent="0.2">
      <c r="A20" s="1359" t="s">
        <v>1072</v>
      </c>
      <c r="B20" s="1243">
        <f>6000+549500+148365</f>
        <v>703865</v>
      </c>
      <c r="C20" s="1214" t="s">
        <v>941</v>
      </c>
      <c r="D20" s="1244"/>
      <c r="E20" s="1244"/>
      <c r="F20" s="1244">
        <f>6000+549500+148365</f>
        <v>703865</v>
      </c>
      <c r="G20" s="1215"/>
    </row>
    <row r="21" spans="1:7" ht="25.5" x14ac:dyDescent="0.2">
      <c r="A21" s="1358" t="s">
        <v>998</v>
      </c>
      <c r="B21" s="1243">
        <f>586618264+158386931-1937394-523096</f>
        <v>742544705</v>
      </c>
      <c r="C21" s="686" t="s">
        <v>804</v>
      </c>
      <c r="D21" s="687"/>
      <c r="E21" s="687"/>
      <c r="F21" s="1244">
        <f>586618264+158386931-1937394-523096</f>
        <v>742544705</v>
      </c>
      <c r="G21" s="724"/>
    </row>
    <row r="22" spans="1:7" ht="25.5" x14ac:dyDescent="0.2">
      <c r="A22" s="1358" t="s">
        <v>999</v>
      </c>
      <c r="B22" s="1165">
        <f>200000000-3871338-260000-1056062-40000-4081388+1671</f>
        <v>190692883</v>
      </c>
      <c r="C22" s="686" t="s">
        <v>804</v>
      </c>
      <c r="D22" s="687"/>
      <c r="E22" s="687">
        <f>39317017-1103646</f>
        <v>38213371</v>
      </c>
      <c r="F22" s="687">
        <f>153782518+1673065-4081388+1671</f>
        <v>151375866</v>
      </c>
      <c r="G22" s="724"/>
    </row>
    <row r="23" spans="1:7" ht="25.5" x14ac:dyDescent="0.2">
      <c r="A23" s="1358" t="s">
        <v>1000</v>
      </c>
      <c r="B23" s="1165">
        <v>50000000</v>
      </c>
      <c r="C23" s="686" t="s">
        <v>804</v>
      </c>
      <c r="D23" s="687"/>
      <c r="E23" s="687"/>
      <c r="F23" s="687">
        <f>39476378+10523622</f>
        <v>50000000</v>
      </c>
      <c r="G23" s="724"/>
    </row>
    <row r="24" spans="1:7" ht="25.5" x14ac:dyDescent="0.2">
      <c r="A24" s="1358" t="s">
        <v>1001</v>
      </c>
      <c r="B24" s="1243">
        <f>200000000-3871338-260000-1056062-40000-3788820-491783</f>
        <v>190491997</v>
      </c>
      <c r="C24" s="686" t="s">
        <v>804</v>
      </c>
      <c r="D24" s="687"/>
      <c r="E24" s="687"/>
      <c r="F24" s="1244">
        <f>153782518+40990082-3788820-491783</f>
        <v>190491997</v>
      </c>
      <c r="G24" s="724"/>
    </row>
    <row r="25" spans="1:7" x14ac:dyDescent="0.2">
      <c r="A25" s="1467" t="s">
        <v>947</v>
      </c>
      <c r="B25" s="1468"/>
      <c r="C25" s="1468"/>
      <c r="D25" s="1468"/>
      <c r="E25" s="1468"/>
      <c r="F25" s="1468"/>
      <c r="G25" s="1469"/>
    </row>
    <row r="26" spans="1:7" s="626" customFormat="1" ht="25.5" x14ac:dyDescent="0.2">
      <c r="A26" s="1240" t="s">
        <v>946</v>
      </c>
      <c r="B26" s="688">
        <v>1500722</v>
      </c>
      <c r="C26" s="686" t="s">
        <v>941</v>
      </c>
      <c r="D26" s="687"/>
      <c r="E26" s="687"/>
      <c r="F26" s="687">
        <v>1500722</v>
      </c>
      <c r="G26" s="690"/>
    </row>
    <row r="27" spans="1:7" x14ac:dyDescent="0.2">
      <c r="A27" s="1467" t="s">
        <v>0</v>
      </c>
      <c r="B27" s="1468"/>
      <c r="C27" s="1468"/>
      <c r="D27" s="1468"/>
      <c r="E27" s="1468"/>
      <c r="F27" s="1468"/>
      <c r="G27" s="1469"/>
    </row>
    <row r="28" spans="1:7" s="626" customFormat="1" ht="13.5" thickBot="1" x14ac:dyDescent="0.25">
      <c r="A28" s="1240" t="s">
        <v>697</v>
      </c>
      <c r="B28" s="1166">
        <v>1054700</v>
      </c>
      <c r="C28" s="1039" t="s">
        <v>802</v>
      </c>
      <c r="D28" s="1167">
        <v>737200</v>
      </c>
      <c r="E28" s="1167"/>
      <c r="F28" s="1167">
        <f>317500-317500</f>
        <v>0</v>
      </c>
      <c r="G28" s="690"/>
    </row>
    <row r="29" spans="1:7" ht="13.5" thickBot="1" x14ac:dyDescent="0.25">
      <c r="A29" s="622" t="s">
        <v>60</v>
      </c>
      <c r="B29" s="623">
        <f>SUM(B8:B28)</f>
        <v>1740270174</v>
      </c>
      <c r="C29" s="623"/>
      <c r="D29" s="623">
        <f>SUM(D8:D28)</f>
        <v>56508776</v>
      </c>
      <c r="E29" s="623">
        <f>SUM(E8:E28)</f>
        <v>65411522</v>
      </c>
      <c r="F29" s="623">
        <f>SUM(F8:F28)</f>
        <v>1641313272</v>
      </c>
      <c r="G29" s="624">
        <v>0</v>
      </c>
    </row>
    <row r="30" spans="1:7" x14ac:dyDescent="0.2">
      <c r="F30" s="630">
        <f>'1.1.sz.mell. '!C123</f>
        <v>1641313272</v>
      </c>
    </row>
  </sheetData>
  <mergeCells count="5">
    <mergeCell ref="A1:G1"/>
    <mergeCell ref="A3:G3"/>
    <mergeCell ref="A7:G7"/>
    <mergeCell ref="A25:G25"/>
    <mergeCell ref="A27:G27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zoomScaleSheetLayoutView="85" workbookViewId="0">
      <selection activeCell="K18" sqref="K18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6" width="9.33203125" style="828"/>
    <col min="7" max="7" width="11.1640625" style="828" bestFit="1" customWidth="1"/>
    <col min="8" max="9" width="10.1640625" style="828" bestFit="1" customWidth="1"/>
    <col min="10" max="16384" width="9.33203125" style="828"/>
  </cols>
  <sheetData>
    <row r="1" spans="1:5" x14ac:dyDescent="0.2">
      <c r="A1" s="1470" t="str">
        <f>CONCATENATE("9. melléklet"," ",ALAPADATOK!A7," ",ALAPADATOK!B7," ",ALAPADATOK!C7," ",ALAPADATOK!D7," ",ALAPADATOK!E7," ",ALAPADATOK!F7," ",ALAPADATOK!G7," ",ALAPADATOK!H7)</f>
        <v>9. melléklet a 15 / 2021. ( IX.30. ) önkormányzati rendelethez</v>
      </c>
      <c r="B1" s="1470"/>
      <c r="C1" s="1470"/>
      <c r="D1" s="1470"/>
      <c r="E1" s="1470"/>
    </row>
    <row r="2" spans="1:5" x14ac:dyDescent="0.2">
      <c r="A2" s="767"/>
      <c r="B2" s="767"/>
      <c r="C2" s="767"/>
      <c r="D2" s="767"/>
      <c r="E2" s="767"/>
    </row>
    <row r="3" spans="1:5" ht="56.25" customHeight="1" x14ac:dyDescent="0.25">
      <c r="A3" s="1471" t="s">
        <v>616</v>
      </c>
      <c r="B3" s="1471"/>
      <c r="C3" s="1471"/>
      <c r="D3" s="1471"/>
      <c r="E3" s="1471"/>
    </row>
    <row r="4" spans="1:5" ht="13.5" customHeight="1" thickBot="1" x14ac:dyDescent="0.3">
      <c r="B4" s="1251"/>
      <c r="C4" s="1251"/>
      <c r="D4" s="1251"/>
      <c r="E4" s="1249" t="s">
        <v>502</v>
      </c>
    </row>
    <row r="5" spans="1:5" ht="15" customHeight="1" thickBot="1" x14ac:dyDescent="0.25">
      <c r="A5" s="783" t="s">
        <v>532</v>
      </c>
      <c r="B5" s="784" t="s">
        <v>805</v>
      </c>
      <c r="C5" s="784" t="s">
        <v>797</v>
      </c>
      <c r="D5" s="784" t="s">
        <v>806</v>
      </c>
      <c r="E5" s="785" t="s">
        <v>48</v>
      </c>
    </row>
    <row r="6" spans="1:5" x14ac:dyDescent="0.2">
      <c r="A6" s="753" t="s">
        <v>533</v>
      </c>
      <c r="B6" s="754">
        <v>77712</v>
      </c>
      <c r="C6" s="740">
        <v>141600</v>
      </c>
      <c r="D6" s="754"/>
      <c r="E6" s="755">
        <f>SUM(B6:D6)</f>
        <v>219312</v>
      </c>
    </row>
    <row r="7" spans="1:5" x14ac:dyDescent="0.2">
      <c r="A7" s="756" t="s">
        <v>534</v>
      </c>
      <c r="B7" s="757"/>
      <c r="C7" s="757"/>
      <c r="D7" s="757"/>
      <c r="E7" s="758">
        <f t="shared" ref="E7:E12" si="0">SUM(B7:D7)</f>
        <v>0</v>
      </c>
    </row>
    <row r="8" spans="1:5" x14ac:dyDescent="0.2">
      <c r="A8" s="759" t="s">
        <v>535</v>
      </c>
      <c r="B8" s="760">
        <f>15956160-159000</f>
        <v>15797160</v>
      </c>
      <c r="C8" s="760"/>
      <c r="D8" s="760"/>
      <c r="E8" s="761">
        <f t="shared" si="0"/>
        <v>15797160</v>
      </c>
    </row>
    <row r="9" spans="1:5" x14ac:dyDescent="0.2">
      <c r="A9" s="759" t="s">
        <v>536</v>
      </c>
      <c r="B9" s="760"/>
      <c r="C9" s="760"/>
      <c r="D9" s="760"/>
      <c r="E9" s="761">
        <f t="shared" si="0"/>
        <v>0</v>
      </c>
    </row>
    <row r="10" spans="1:5" x14ac:dyDescent="0.2">
      <c r="A10" s="759" t="s">
        <v>110</v>
      </c>
      <c r="B10" s="795"/>
      <c r="C10" s="760"/>
      <c r="D10" s="760"/>
      <c r="E10" s="761">
        <f t="shared" si="0"/>
        <v>0</v>
      </c>
    </row>
    <row r="11" spans="1:5" x14ac:dyDescent="0.2">
      <c r="A11" s="759" t="s">
        <v>537</v>
      </c>
      <c r="B11" s="760"/>
      <c r="C11" s="760"/>
      <c r="D11" s="760"/>
      <c r="E11" s="761">
        <f t="shared" si="0"/>
        <v>0</v>
      </c>
    </row>
    <row r="12" spans="1:5" ht="13.5" thickBot="1" x14ac:dyDescent="0.25">
      <c r="A12" s="762"/>
      <c r="B12" s="763"/>
      <c r="C12" s="763"/>
      <c r="D12" s="763"/>
      <c r="E12" s="761">
        <f t="shared" si="0"/>
        <v>0</v>
      </c>
    </row>
    <row r="13" spans="1:5" ht="13.5" thickBot="1" x14ac:dyDescent="0.25">
      <c r="A13" s="786" t="s">
        <v>538</v>
      </c>
      <c r="B13" s="764">
        <f>B6+SUM(B8:B12)</f>
        <v>15874872</v>
      </c>
      <c r="C13" s="764">
        <f>C6+SUM(C8:C12)</f>
        <v>141600</v>
      </c>
      <c r="D13" s="764">
        <f>D6+SUM(D8:D12)</f>
        <v>0</v>
      </c>
      <c r="E13" s="752">
        <f>SUM(E6:E12)</f>
        <v>16016472</v>
      </c>
    </row>
    <row r="14" spans="1:5" ht="13.5" thickBot="1" x14ac:dyDescent="0.25">
      <c r="A14" s="1169"/>
      <c r="B14" s="1169"/>
      <c r="C14" s="1169"/>
      <c r="D14" s="1169"/>
      <c r="E14" s="1169"/>
    </row>
    <row r="15" spans="1:5" ht="15" customHeight="1" thickBot="1" x14ac:dyDescent="0.25">
      <c r="A15" s="783" t="s">
        <v>539</v>
      </c>
      <c r="B15" s="784" t="s">
        <v>805</v>
      </c>
      <c r="C15" s="784" t="s">
        <v>797</v>
      </c>
      <c r="D15" s="784" t="s">
        <v>806</v>
      </c>
      <c r="E15" s="785" t="s">
        <v>48</v>
      </c>
    </row>
    <row r="16" spans="1:5" x14ac:dyDescent="0.2">
      <c r="A16" s="753" t="s">
        <v>540</v>
      </c>
      <c r="B16" s="754"/>
      <c r="C16" s="754"/>
      <c r="D16" s="754"/>
      <c r="E16" s="755">
        <f>SUM(B16:D16)</f>
        <v>0</v>
      </c>
    </row>
    <row r="17" spans="1:5" x14ac:dyDescent="0.2">
      <c r="A17" s="765" t="s">
        <v>541</v>
      </c>
      <c r="B17" s="760">
        <f>6978592+638160+5094120</f>
        <v>12710872</v>
      </c>
      <c r="C17" s="760">
        <v>95000</v>
      </c>
      <c r="D17" s="760"/>
      <c r="E17" s="761">
        <f t="shared" ref="E17:E22" si="1">SUM(B17:D17)</f>
        <v>12805872</v>
      </c>
    </row>
    <row r="18" spans="1:5" x14ac:dyDescent="0.2">
      <c r="A18" s="759" t="s">
        <v>542</v>
      </c>
      <c r="B18" s="760"/>
      <c r="C18" s="760">
        <v>46600</v>
      </c>
      <c r="D18" s="760"/>
      <c r="E18" s="761">
        <f t="shared" si="1"/>
        <v>46600</v>
      </c>
    </row>
    <row r="19" spans="1:5" x14ac:dyDescent="0.2">
      <c r="A19" s="759" t="s">
        <v>543</v>
      </c>
      <c r="B19" s="760"/>
      <c r="C19" s="760"/>
      <c r="D19" s="760"/>
      <c r="E19" s="761">
        <f t="shared" si="1"/>
        <v>0</v>
      </c>
    </row>
    <row r="20" spans="1:5" x14ac:dyDescent="0.2">
      <c r="A20" s="766" t="s">
        <v>544</v>
      </c>
      <c r="B20" s="760"/>
      <c r="C20" s="760"/>
      <c r="D20" s="760"/>
      <c r="E20" s="761">
        <f t="shared" si="1"/>
        <v>0</v>
      </c>
    </row>
    <row r="21" spans="1:5" x14ac:dyDescent="0.2">
      <c r="A21" s="766" t="s">
        <v>545</v>
      </c>
      <c r="B21" s="760">
        <v>3164000</v>
      </c>
      <c r="C21" s="760"/>
      <c r="D21" s="760"/>
      <c r="E21" s="761">
        <f t="shared" si="1"/>
        <v>3164000</v>
      </c>
    </row>
    <row r="22" spans="1:5" ht="13.5" thickBot="1" x14ac:dyDescent="0.25">
      <c r="A22" s="762"/>
      <c r="B22" s="763"/>
      <c r="C22" s="763"/>
      <c r="D22" s="763"/>
      <c r="E22" s="761">
        <f t="shared" si="1"/>
        <v>0</v>
      </c>
    </row>
    <row r="23" spans="1:5" ht="13.5" thickBot="1" x14ac:dyDescent="0.25">
      <c r="A23" s="786" t="s">
        <v>49</v>
      </c>
      <c r="B23" s="787">
        <f>SUM(B16:B22)</f>
        <v>15874872</v>
      </c>
      <c r="C23" s="787">
        <f>SUM(C16:C22)</f>
        <v>141600</v>
      </c>
      <c r="D23" s="787">
        <f>SUM(D16:D22)</f>
        <v>0</v>
      </c>
      <c r="E23" s="788">
        <f>SUM(E16:E22)</f>
        <v>16016472</v>
      </c>
    </row>
    <row r="24" spans="1:5" x14ac:dyDescent="0.2">
      <c r="A24" s="767"/>
      <c r="B24" s="767"/>
      <c r="C24" s="767"/>
      <c r="D24" s="767"/>
      <c r="E24" s="767"/>
    </row>
    <row r="25" spans="1:5" ht="51.75" customHeight="1" x14ac:dyDescent="0.25">
      <c r="A25" s="1471" t="s">
        <v>958</v>
      </c>
      <c r="B25" s="1471"/>
      <c r="C25" s="1471"/>
      <c r="D25" s="1471"/>
      <c r="E25" s="1471"/>
    </row>
    <row r="26" spans="1:5" ht="14.25" thickBot="1" x14ac:dyDescent="0.3">
      <c r="A26" s="767"/>
      <c r="B26" s="767"/>
      <c r="C26" s="767"/>
      <c r="D26" s="1251"/>
      <c r="E26" s="1249" t="s">
        <v>502</v>
      </c>
    </row>
    <row r="27" spans="1:5" ht="13.5" thickBot="1" x14ac:dyDescent="0.25">
      <c r="A27" s="783" t="s">
        <v>532</v>
      </c>
      <c r="B27" s="784" t="s">
        <v>805</v>
      </c>
      <c r="C27" s="784" t="s">
        <v>797</v>
      </c>
      <c r="D27" s="784" t="s">
        <v>806</v>
      </c>
      <c r="E27" s="785" t="s">
        <v>48</v>
      </c>
    </row>
    <row r="28" spans="1:5" x14ac:dyDescent="0.2">
      <c r="A28" s="753" t="s">
        <v>533</v>
      </c>
      <c r="B28" s="754">
        <f>2021904+1114507</f>
        <v>3136411</v>
      </c>
      <c r="C28" s="1189">
        <f>1000000+317500-1114507-202993+1</f>
        <v>1</v>
      </c>
      <c r="D28" s="754"/>
      <c r="E28" s="755">
        <f>SUM(B28:D28)</f>
        <v>3136412</v>
      </c>
    </row>
    <row r="29" spans="1:5" x14ac:dyDescent="0.2">
      <c r="A29" s="756" t="s">
        <v>534</v>
      </c>
      <c r="B29" s="757"/>
      <c r="C29" s="757"/>
      <c r="D29" s="757"/>
      <c r="E29" s="758">
        <f t="shared" ref="E29:E34" si="2">SUM(B29:D29)</f>
        <v>0</v>
      </c>
    </row>
    <row r="30" spans="1:5" x14ac:dyDescent="0.2">
      <c r="A30" s="759" t="s">
        <v>535</v>
      </c>
      <c r="B30" s="760">
        <f>66360408+41079881</f>
        <v>107440289</v>
      </c>
      <c r="C30" s="760">
        <f>72654520-41079881</f>
        <v>31574639</v>
      </c>
      <c r="D30" s="760"/>
      <c r="E30" s="761">
        <f t="shared" si="2"/>
        <v>139014928</v>
      </c>
    </row>
    <row r="31" spans="1:5" x14ac:dyDescent="0.2">
      <c r="A31" s="759" t="s">
        <v>536</v>
      </c>
      <c r="B31" s="760"/>
      <c r="C31" s="760"/>
      <c r="D31" s="760"/>
      <c r="E31" s="761">
        <f t="shared" si="2"/>
        <v>0</v>
      </c>
    </row>
    <row r="32" spans="1:5" x14ac:dyDescent="0.2">
      <c r="A32" s="759" t="s">
        <v>110</v>
      </c>
      <c r="B32" s="795"/>
      <c r="C32" s="760"/>
      <c r="D32" s="760"/>
      <c r="E32" s="761">
        <f t="shared" si="2"/>
        <v>0</v>
      </c>
    </row>
    <row r="33" spans="1:8" x14ac:dyDescent="0.2">
      <c r="A33" s="759" t="s">
        <v>537</v>
      </c>
      <c r="B33" s="760"/>
      <c r="C33" s="795"/>
      <c r="D33" s="760"/>
      <c r="E33" s="761">
        <f t="shared" si="2"/>
        <v>0</v>
      </c>
    </row>
    <row r="34" spans="1:8" ht="13.5" thickBot="1" x14ac:dyDescent="0.25">
      <c r="A34" s="762"/>
      <c r="B34" s="763"/>
      <c r="C34" s="763"/>
      <c r="D34" s="763"/>
      <c r="E34" s="761">
        <f t="shared" si="2"/>
        <v>0</v>
      </c>
    </row>
    <row r="35" spans="1:8" ht="13.5" thickBot="1" x14ac:dyDescent="0.25">
      <c r="A35" s="786" t="s">
        <v>538</v>
      </c>
      <c r="B35" s="764">
        <f>B28+SUM(B30:B34)</f>
        <v>110576700</v>
      </c>
      <c r="C35" s="764">
        <f>C28+SUM(C30:C34)</f>
        <v>31574640</v>
      </c>
      <c r="D35" s="764">
        <f>D28+SUM(D30:D34)</f>
        <v>0</v>
      </c>
      <c r="E35" s="752">
        <f>E28+SUM(E30:E34)</f>
        <v>142151340</v>
      </c>
    </row>
    <row r="36" spans="1:8" ht="13.5" thickBot="1" x14ac:dyDescent="0.25">
      <c r="A36" s="1169"/>
      <c r="B36" s="1169"/>
      <c r="C36" s="1169"/>
      <c r="D36" s="1169"/>
      <c r="E36" s="1169"/>
    </row>
    <row r="37" spans="1:8" ht="13.5" thickBot="1" x14ac:dyDescent="0.25">
      <c r="A37" s="783" t="s">
        <v>539</v>
      </c>
      <c r="B37" s="784" t="str">
        <f>B27</f>
        <v>2021. előtt</v>
      </c>
      <c r="C37" s="784" t="str">
        <f>C27</f>
        <v>2021.</v>
      </c>
      <c r="D37" s="784" t="str">
        <f>D27</f>
        <v>2021. után</v>
      </c>
      <c r="E37" s="785" t="s">
        <v>48</v>
      </c>
    </row>
    <row r="38" spans="1:8" x14ac:dyDescent="0.2">
      <c r="A38" s="753" t="s">
        <v>540</v>
      </c>
      <c r="B38" s="754">
        <f>3104854+2230710</f>
        <v>5335564</v>
      </c>
      <c r="C38" s="754">
        <f>4550402-2230710</f>
        <v>2319692</v>
      </c>
      <c r="D38" s="754"/>
      <c r="E38" s="755">
        <f t="shared" ref="E38:E44" si="3">SUM(B38:D38)</f>
        <v>7655256</v>
      </c>
    </row>
    <row r="39" spans="1:8" x14ac:dyDescent="0.2">
      <c r="A39" s="765" t="s">
        <v>812</v>
      </c>
      <c r="B39" s="760">
        <f>37347533-1206500+17287494+1114507</f>
        <v>54543034</v>
      </c>
      <c r="C39" s="449">
        <f>17650043+1000000+1206500+317500-17287494-1114507-202993+1</f>
        <v>1569050</v>
      </c>
      <c r="D39" s="760"/>
      <c r="E39" s="761">
        <f t="shared" si="3"/>
        <v>56112084</v>
      </c>
    </row>
    <row r="40" spans="1:8" x14ac:dyDescent="0.2">
      <c r="A40" s="759" t="s">
        <v>542</v>
      </c>
      <c r="B40" s="760">
        <f>4388001+1299999</f>
        <v>5688000</v>
      </c>
      <c r="C40" s="760">
        <f>4683999-1299999</f>
        <v>3384000</v>
      </c>
      <c r="D40" s="760"/>
      <c r="E40" s="761">
        <f t="shared" si="3"/>
        <v>9072000</v>
      </c>
    </row>
    <row r="41" spans="1:8" x14ac:dyDescent="0.2">
      <c r="A41" s="759" t="s">
        <v>543</v>
      </c>
      <c r="B41" s="760"/>
      <c r="C41" s="760"/>
      <c r="D41" s="760"/>
      <c r="E41" s="761">
        <f t="shared" si="3"/>
        <v>0</v>
      </c>
    </row>
    <row r="42" spans="1:8" x14ac:dyDescent="0.2">
      <c r="A42" s="766" t="s">
        <v>544</v>
      </c>
      <c r="B42" s="760"/>
      <c r="C42" s="760"/>
      <c r="D42" s="760"/>
      <c r="E42" s="761">
        <f t="shared" si="3"/>
        <v>0</v>
      </c>
    </row>
    <row r="43" spans="1:8" x14ac:dyDescent="0.2">
      <c r="A43" s="766" t="s">
        <v>545</v>
      </c>
      <c r="B43" s="795"/>
      <c r="C43" s="760"/>
      <c r="D43" s="760"/>
      <c r="E43" s="761">
        <f t="shared" si="3"/>
        <v>0</v>
      </c>
    </row>
    <row r="44" spans="1:8" ht="13.5" thickBot="1" x14ac:dyDescent="0.25">
      <c r="A44" s="762" t="s">
        <v>742</v>
      </c>
      <c r="B44" s="763">
        <f>4300000+18370000</f>
        <v>22670000</v>
      </c>
      <c r="C44" s="763">
        <f>65012000-18370000</f>
        <v>46642000</v>
      </c>
      <c r="D44" s="763"/>
      <c r="E44" s="761">
        <f t="shared" si="3"/>
        <v>69312000</v>
      </c>
    </row>
    <row r="45" spans="1:8" ht="13.5" thickBot="1" x14ac:dyDescent="0.25">
      <c r="A45" s="786" t="s">
        <v>49</v>
      </c>
      <c r="B45" s="787">
        <f>SUM(B38:B44)</f>
        <v>88236598</v>
      </c>
      <c r="C45" s="787">
        <f>SUM(C38:C44)</f>
        <v>53914742</v>
      </c>
      <c r="D45" s="787">
        <f>SUM(D38:D44)</f>
        <v>0</v>
      </c>
      <c r="E45" s="788">
        <f>SUM(E38:E44)</f>
        <v>142151340</v>
      </c>
      <c r="G45" s="736"/>
      <c r="H45" s="736"/>
    </row>
    <row r="46" spans="1:8" x14ac:dyDescent="0.2">
      <c r="A46" s="767"/>
      <c r="B46" s="767"/>
      <c r="C46" s="767"/>
      <c r="D46" s="767"/>
      <c r="E46" s="1171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A4" sqref="A4:E47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6" width="9.33203125" style="828"/>
    <col min="7" max="7" width="10.1640625" style="828" bestFit="1" customWidth="1"/>
    <col min="8" max="16384" width="9.33203125" style="828"/>
  </cols>
  <sheetData>
    <row r="1" spans="1:5" x14ac:dyDescent="0.2">
      <c r="A1" s="1470" t="str">
        <f>CONCATENATE("9. melléklet"," ",ALAPADATOK!A7," ",ALAPADATOK!B7," ",ALAPADATOK!C7," ",ALAPADATOK!D7," ",ALAPADATOK!E7," ",ALAPADATOK!F7," ",ALAPADATOK!G7," ",ALAPADATOK!H7)</f>
        <v>9. melléklet a 15 / 2021. ( IX.30. ) önkormányzati rendelethez</v>
      </c>
      <c r="B1" s="1470"/>
      <c r="C1" s="1470"/>
      <c r="D1" s="1470"/>
      <c r="E1" s="1470"/>
    </row>
    <row r="2" spans="1:5" x14ac:dyDescent="0.2">
      <c r="A2" s="767"/>
      <c r="B2" s="767"/>
      <c r="C2" s="767"/>
      <c r="D2" s="767"/>
      <c r="E2" s="767"/>
    </row>
    <row r="3" spans="1:5" ht="40.5" customHeight="1" x14ac:dyDescent="0.2">
      <c r="A3" s="1473" t="s">
        <v>1074</v>
      </c>
      <c r="B3" s="1473"/>
      <c r="C3" s="1473"/>
      <c r="D3" s="1473"/>
      <c r="E3" s="1473"/>
    </row>
    <row r="4" spans="1:5" x14ac:dyDescent="0.2">
      <c r="A4" s="767"/>
      <c r="B4" s="767"/>
      <c r="C4" s="767"/>
      <c r="D4" s="767"/>
      <c r="E4" s="767"/>
    </row>
    <row r="5" spans="1:5" ht="57" customHeight="1" x14ac:dyDescent="0.25">
      <c r="A5" s="1471" t="s">
        <v>699</v>
      </c>
      <c r="B5" s="1471"/>
      <c r="C5" s="1471"/>
      <c r="D5" s="1471"/>
      <c r="E5" s="1471"/>
    </row>
    <row r="6" spans="1:5" ht="14.25" thickBot="1" x14ac:dyDescent="0.3">
      <c r="A6" s="738"/>
      <c r="B6" s="738"/>
      <c r="C6" s="738"/>
      <c r="D6" s="1472" t="s">
        <v>502</v>
      </c>
      <c r="E6" s="1472"/>
    </row>
    <row r="7" spans="1:5" ht="15" customHeight="1" thickBot="1" x14ac:dyDescent="0.25">
      <c r="A7" s="783" t="s">
        <v>532</v>
      </c>
      <c r="B7" s="784" t="s">
        <v>805</v>
      </c>
      <c r="C7" s="784" t="s">
        <v>797</v>
      </c>
      <c r="D7" s="784" t="s">
        <v>806</v>
      </c>
      <c r="E7" s="785" t="s">
        <v>48</v>
      </c>
    </row>
    <row r="8" spans="1:5" x14ac:dyDescent="0.2">
      <c r="A8" s="739" t="s">
        <v>533</v>
      </c>
      <c r="B8" s="740"/>
      <c r="C8" s="740"/>
      <c r="D8" s="740"/>
      <c r="E8" s="741">
        <f>B8+C8+D8</f>
        <v>0</v>
      </c>
    </row>
    <row r="9" spans="1:5" x14ac:dyDescent="0.2">
      <c r="A9" s="742" t="s">
        <v>534</v>
      </c>
      <c r="B9" s="743"/>
      <c r="C9" s="743"/>
      <c r="D9" s="743"/>
      <c r="E9" s="744">
        <f t="shared" ref="E9:E14" si="0">B9+C9+D9</f>
        <v>0</v>
      </c>
    </row>
    <row r="10" spans="1:5" x14ac:dyDescent="0.2">
      <c r="A10" s="745" t="s">
        <v>535</v>
      </c>
      <c r="B10" s="795">
        <v>5715000</v>
      </c>
      <c r="C10" s="795">
        <v>25776050</v>
      </c>
      <c r="D10" s="795"/>
      <c r="E10" s="796">
        <f t="shared" si="0"/>
        <v>31491050</v>
      </c>
    </row>
    <row r="11" spans="1:5" x14ac:dyDescent="0.2">
      <c r="A11" s="745" t="s">
        <v>536</v>
      </c>
      <c r="B11" s="795"/>
      <c r="C11" s="795"/>
      <c r="D11" s="795"/>
      <c r="E11" s="796">
        <f t="shared" si="0"/>
        <v>0</v>
      </c>
    </row>
    <row r="12" spans="1:5" x14ac:dyDescent="0.2">
      <c r="A12" s="745" t="s">
        <v>110</v>
      </c>
      <c r="B12" s="795"/>
      <c r="C12" s="795"/>
      <c r="D12" s="795"/>
      <c r="E12" s="796">
        <f t="shared" si="0"/>
        <v>0</v>
      </c>
    </row>
    <row r="13" spans="1:5" x14ac:dyDescent="0.2">
      <c r="A13" s="745" t="s">
        <v>537</v>
      </c>
      <c r="B13" s="795"/>
      <c r="C13" s="795"/>
      <c r="D13" s="795"/>
      <c r="E13" s="796">
        <f t="shared" si="0"/>
        <v>0</v>
      </c>
    </row>
    <row r="14" spans="1:5" ht="13.5" thickBot="1" x14ac:dyDescent="0.25">
      <c r="A14" s="746"/>
      <c r="B14" s="797"/>
      <c r="C14" s="797"/>
      <c r="D14" s="797"/>
      <c r="E14" s="796">
        <f t="shared" si="0"/>
        <v>0</v>
      </c>
    </row>
    <row r="15" spans="1:5" ht="13.5" thickBot="1" x14ac:dyDescent="0.25">
      <c r="A15" s="786" t="s">
        <v>538</v>
      </c>
      <c r="B15" s="787">
        <f>B8+SUM(B10:B14)</f>
        <v>5715000</v>
      </c>
      <c r="C15" s="787">
        <f>C8+SUM(C10:C14)</f>
        <v>25776050</v>
      </c>
      <c r="D15" s="787">
        <f>D8+SUM(D10:D14)</f>
        <v>0</v>
      </c>
      <c r="E15" s="788">
        <f>E8+SUM(E10:E14)</f>
        <v>31491050</v>
      </c>
    </row>
    <row r="16" spans="1:5" ht="13.5" thickBot="1" x14ac:dyDescent="0.25">
      <c r="A16" s="747"/>
      <c r="B16" s="747"/>
      <c r="C16" s="747"/>
      <c r="D16" s="747"/>
      <c r="E16" s="747"/>
    </row>
    <row r="17" spans="1:9" ht="15" customHeight="1" thickBot="1" x14ac:dyDescent="0.25">
      <c r="A17" s="783" t="s">
        <v>539</v>
      </c>
      <c r="B17" s="784" t="str">
        <f>B7</f>
        <v>2021. előtt</v>
      </c>
      <c r="C17" s="784" t="str">
        <f t="shared" ref="C17:E17" si="1">C7</f>
        <v>2021.</v>
      </c>
      <c r="D17" s="784" t="str">
        <f t="shared" si="1"/>
        <v>2021. után</v>
      </c>
      <c r="E17" s="784" t="str">
        <f t="shared" si="1"/>
        <v>Összesen</v>
      </c>
    </row>
    <row r="18" spans="1:9" x14ac:dyDescent="0.2">
      <c r="A18" s="739" t="s">
        <v>540</v>
      </c>
      <c r="B18" s="740"/>
      <c r="C18" s="740"/>
      <c r="D18" s="740"/>
      <c r="E18" s="741">
        <f t="shared" ref="E18:E24" si="2">B18+C18+D18</f>
        <v>0</v>
      </c>
    </row>
    <row r="19" spans="1:9" x14ac:dyDescent="0.2">
      <c r="A19" s="748" t="s">
        <v>541</v>
      </c>
      <c r="B19" s="795">
        <f>1270000+1270000+3175000</f>
        <v>5715000</v>
      </c>
      <c r="C19" s="795">
        <f>203200+88900+1143000+406400+203200+381000+127000+254000+127000+635000+457200</f>
        <v>4025900</v>
      </c>
      <c r="D19" s="795"/>
      <c r="E19" s="796">
        <f t="shared" si="2"/>
        <v>9740900</v>
      </c>
    </row>
    <row r="20" spans="1:9" x14ac:dyDescent="0.2">
      <c r="A20" s="745" t="s">
        <v>542</v>
      </c>
      <c r="B20" s="795">
        <f>40640+175386+2833050</f>
        <v>3049076</v>
      </c>
      <c r="C20" s="795">
        <f>381000+381000+406400+406400+701544+45720+243840+4840000+2800000</f>
        <v>10205904</v>
      </c>
      <c r="D20" s="795">
        <f>381000+381000+406400+406400+526170+203200+135000+5300000</f>
        <v>7739170</v>
      </c>
      <c r="E20" s="796">
        <f t="shared" si="2"/>
        <v>20994150</v>
      </c>
    </row>
    <row r="21" spans="1:9" x14ac:dyDescent="0.2">
      <c r="A21" s="745" t="s">
        <v>543</v>
      </c>
      <c r="B21" s="795"/>
      <c r="C21" s="795"/>
      <c r="D21" s="795"/>
      <c r="E21" s="796">
        <f t="shared" si="2"/>
        <v>0</v>
      </c>
    </row>
    <row r="22" spans="1:9" x14ac:dyDescent="0.2">
      <c r="A22" s="749" t="s">
        <v>544</v>
      </c>
      <c r="B22" s="795"/>
      <c r="C22" s="795">
        <v>756000</v>
      </c>
      <c r="D22" s="795"/>
      <c r="E22" s="796">
        <f t="shared" si="2"/>
        <v>756000</v>
      </c>
    </row>
    <row r="23" spans="1:9" x14ac:dyDescent="0.2">
      <c r="A23" s="749" t="s">
        <v>545</v>
      </c>
      <c r="B23" s="795"/>
      <c r="C23" s="795"/>
      <c r="D23" s="795"/>
      <c r="E23" s="796">
        <f t="shared" si="2"/>
        <v>0</v>
      </c>
    </row>
    <row r="24" spans="1:9" ht="13.5" thickBot="1" x14ac:dyDescent="0.25">
      <c r="A24" s="746"/>
      <c r="B24" s="797"/>
      <c r="C24" s="797"/>
      <c r="D24" s="797"/>
      <c r="E24" s="796">
        <f t="shared" si="2"/>
        <v>0</v>
      </c>
    </row>
    <row r="25" spans="1:9" ht="13.5" thickBot="1" x14ac:dyDescent="0.25">
      <c r="A25" s="786" t="s">
        <v>49</v>
      </c>
      <c r="B25" s="787">
        <f>SUM(B18:B24)</f>
        <v>8764076</v>
      </c>
      <c r="C25" s="787">
        <f>SUM(C18:C24)</f>
        <v>14987804</v>
      </c>
      <c r="D25" s="787">
        <f>SUM(D18:D24)</f>
        <v>7739170</v>
      </c>
      <c r="E25" s="788">
        <f>SUM(E18:E24)</f>
        <v>31491050</v>
      </c>
      <c r="G25" s="737"/>
      <c r="H25" s="737"/>
      <c r="I25" s="737"/>
    </row>
    <row r="26" spans="1:9" x14ac:dyDescent="0.2">
      <c r="A26" s="767"/>
      <c r="B26" s="767"/>
      <c r="C26" s="767"/>
      <c r="D26" s="767"/>
      <c r="E26" s="767"/>
    </row>
    <row r="27" spans="1:9" ht="48.75" customHeight="1" x14ac:dyDescent="0.25">
      <c r="A27" s="1471" t="s">
        <v>700</v>
      </c>
      <c r="B27" s="1471"/>
      <c r="C27" s="1471"/>
      <c r="D27" s="1471"/>
      <c r="E27" s="1471"/>
    </row>
    <row r="28" spans="1:9" ht="14.25" thickBot="1" x14ac:dyDescent="0.3">
      <c r="A28" s="738"/>
      <c r="B28" s="738"/>
      <c r="C28" s="738"/>
      <c r="D28" s="1472" t="s">
        <v>502</v>
      </c>
      <c r="E28" s="1472"/>
    </row>
    <row r="29" spans="1:9" ht="13.5" thickBot="1" x14ac:dyDescent="0.25">
      <c r="A29" s="783" t="s">
        <v>532</v>
      </c>
      <c r="B29" s="784" t="s">
        <v>805</v>
      </c>
      <c r="C29" s="784" t="s">
        <v>797</v>
      </c>
      <c r="D29" s="784" t="s">
        <v>806</v>
      </c>
      <c r="E29" s="785" t="s">
        <v>48</v>
      </c>
    </row>
    <row r="30" spans="1:9" x14ac:dyDescent="0.2">
      <c r="A30" s="739" t="s">
        <v>533</v>
      </c>
      <c r="B30" s="740"/>
      <c r="C30" s="740"/>
      <c r="D30" s="740"/>
      <c r="E30" s="741">
        <f>B30+C30+D30</f>
        <v>0</v>
      </c>
    </row>
    <row r="31" spans="1:9" x14ac:dyDescent="0.2">
      <c r="A31" s="742" t="s">
        <v>534</v>
      </c>
      <c r="B31" s="743"/>
      <c r="C31" s="743"/>
      <c r="D31" s="743"/>
      <c r="E31" s="744">
        <f t="shared" ref="E31:E36" si="3">B31+C31+D31</f>
        <v>0</v>
      </c>
    </row>
    <row r="32" spans="1:9" x14ac:dyDescent="0.2">
      <c r="A32" s="745" t="s">
        <v>535</v>
      </c>
      <c r="B32" s="795"/>
      <c r="C32" s="795">
        <f>69613780+5168705</f>
        <v>74782485</v>
      </c>
      <c r="D32" s="795"/>
      <c r="E32" s="796">
        <f t="shared" si="3"/>
        <v>74782485</v>
      </c>
    </row>
    <row r="33" spans="1:5" x14ac:dyDescent="0.2">
      <c r="A33" s="745" t="s">
        <v>536</v>
      </c>
      <c r="B33" s="795"/>
      <c r="C33" s="795"/>
      <c r="D33" s="795"/>
      <c r="E33" s="796">
        <f t="shared" si="3"/>
        <v>0</v>
      </c>
    </row>
    <row r="34" spans="1:5" x14ac:dyDescent="0.2">
      <c r="A34" s="745" t="s">
        <v>110</v>
      </c>
      <c r="B34" s="795"/>
      <c r="C34" s="795"/>
      <c r="D34" s="795"/>
      <c r="E34" s="796">
        <f t="shared" si="3"/>
        <v>0</v>
      </c>
    </row>
    <row r="35" spans="1:5" x14ac:dyDescent="0.2">
      <c r="A35" s="745" t="s">
        <v>537</v>
      </c>
      <c r="B35" s="795"/>
      <c r="C35" s="795"/>
      <c r="D35" s="795"/>
      <c r="E35" s="796">
        <f t="shared" si="3"/>
        <v>0</v>
      </c>
    </row>
    <row r="36" spans="1:5" ht="13.5" thickBot="1" x14ac:dyDescent="0.25">
      <c r="A36" s="746"/>
      <c r="B36" s="797"/>
      <c r="C36" s="797"/>
      <c r="D36" s="797"/>
      <c r="E36" s="796">
        <f t="shared" si="3"/>
        <v>0</v>
      </c>
    </row>
    <row r="37" spans="1:5" ht="13.5" thickBot="1" x14ac:dyDescent="0.25">
      <c r="A37" s="786" t="s">
        <v>538</v>
      </c>
      <c r="B37" s="787">
        <f>B30+SUM(B32:B36)</f>
        <v>0</v>
      </c>
      <c r="C37" s="787">
        <f>C30+SUM(C32:C36)</f>
        <v>74782485</v>
      </c>
      <c r="D37" s="787">
        <f>D30+SUM(D32:D36)</f>
        <v>0</v>
      </c>
      <c r="E37" s="788">
        <f>E30+SUM(E32:E36)</f>
        <v>74782485</v>
      </c>
    </row>
    <row r="38" spans="1:5" ht="13.5" thickBot="1" x14ac:dyDescent="0.25">
      <c r="A38" s="747"/>
      <c r="B38" s="747"/>
      <c r="C38" s="747"/>
      <c r="D38" s="747"/>
      <c r="E38" s="747"/>
    </row>
    <row r="39" spans="1:5" ht="13.5" thickBot="1" x14ac:dyDescent="0.25">
      <c r="A39" s="783" t="s">
        <v>539</v>
      </c>
      <c r="B39" s="784" t="s">
        <v>805</v>
      </c>
      <c r="C39" s="784" t="s">
        <v>797</v>
      </c>
      <c r="D39" s="784" t="s">
        <v>806</v>
      </c>
      <c r="E39" s="785" t="s">
        <v>48</v>
      </c>
    </row>
    <row r="40" spans="1:5" x14ac:dyDescent="0.2">
      <c r="A40" s="739" t="s">
        <v>540</v>
      </c>
      <c r="B40" s="740">
        <v>1421258</v>
      </c>
      <c r="C40" s="1189">
        <f>62837360+3049440+820163</f>
        <v>66706963</v>
      </c>
      <c r="D40" s="740"/>
      <c r="E40" s="741">
        <f t="shared" ref="E40:E46" si="4">B40+C40+D40</f>
        <v>68128221</v>
      </c>
    </row>
    <row r="41" spans="1:5" x14ac:dyDescent="0.2">
      <c r="A41" s="748" t="s">
        <v>541</v>
      </c>
      <c r="B41" s="795"/>
      <c r="C41" s="795">
        <f>1092200+101600+2057400</f>
        <v>3251200</v>
      </c>
      <c r="D41" s="795"/>
      <c r="E41" s="796">
        <f t="shared" si="4"/>
        <v>3251200</v>
      </c>
    </row>
    <row r="42" spans="1:5" x14ac:dyDescent="0.2">
      <c r="A42" s="745" t="s">
        <v>542</v>
      </c>
      <c r="B42" s="795">
        <v>1040000</v>
      </c>
      <c r="C42" s="449">
        <f>8290067-2057400-3869603</f>
        <v>2363064</v>
      </c>
      <c r="D42" s="795"/>
      <c r="E42" s="796">
        <f t="shared" si="4"/>
        <v>3403064</v>
      </c>
    </row>
    <row r="43" spans="1:5" x14ac:dyDescent="0.2">
      <c r="A43" s="745" t="s">
        <v>543</v>
      </c>
      <c r="B43" s="795"/>
      <c r="C43" s="795"/>
      <c r="D43" s="795"/>
      <c r="E43" s="796">
        <f t="shared" si="4"/>
        <v>0</v>
      </c>
    </row>
    <row r="44" spans="1:5" x14ac:dyDescent="0.2">
      <c r="A44" s="749" t="s">
        <v>544</v>
      </c>
      <c r="B44" s="795"/>
      <c r="C44" s="795"/>
      <c r="D44" s="795"/>
      <c r="E44" s="796">
        <f t="shared" si="4"/>
        <v>0</v>
      </c>
    </row>
    <row r="45" spans="1:5" x14ac:dyDescent="0.2">
      <c r="A45" s="749" t="s">
        <v>545</v>
      </c>
      <c r="B45" s="795"/>
      <c r="C45" s="795"/>
      <c r="D45" s="795"/>
      <c r="E45" s="796">
        <f t="shared" si="4"/>
        <v>0</v>
      </c>
    </row>
    <row r="46" spans="1:5" ht="13.5" thickBot="1" x14ac:dyDescent="0.25">
      <c r="A46" s="746"/>
      <c r="B46" s="797"/>
      <c r="C46" s="797"/>
      <c r="D46" s="797"/>
      <c r="E46" s="796">
        <f t="shared" si="4"/>
        <v>0</v>
      </c>
    </row>
    <row r="47" spans="1:5" ht="13.5" thickBot="1" x14ac:dyDescent="0.25">
      <c r="A47" s="786" t="s">
        <v>49</v>
      </c>
      <c r="B47" s="787">
        <f>SUM(B40:B46)</f>
        <v>2461258</v>
      </c>
      <c r="C47" s="787">
        <f>SUM(C40:C46)</f>
        <v>72321227</v>
      </c>
      <c r="D47" s="787">
        <f>SUM(D40:D46)</f>
        <v>0</v>
      </c>
      <c r="E47" s="788">
        <f>SUM(E40:E46)</f>
        <v>74782485</v>
      </c>
    </row>
    <row r="48" spans="1:5" x14ac:dyDescent="0.2">
      <c r="A48" s="767"/>
      <c r="B48" s="767"/>
      <c r="C48" s="767"/>
      <c r="D48" s="767"/>
      <c r="E48" s="767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topLeftCell="A22" zoomScaleSheetLayoutView="115" workbookViewId="0">
      <selection activeCell="I34" sqref="I34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6" width="9.33203125" style="827"/>
    <col min="7" max="7" width="10.1640625" style="827" bestFit="1" customWidth="1"/>
    <col min="8" max="16384" width="9.33203125" style="827"/>
  </cols>
  <sheetData>
    <row r="1" spans="1:5" x14ac:dyDescent="0.2">
      <c r="A1" s="1474" t="str">
        <f>CONCATENATE("10. melléklet ",ALAPADATOK!A7," ",ALAPADATOK!B7," ",ALAPADATOK!C7," ",ALAPADATOK!D7," ",ALAPADATOK!E7," ",ALAPADATOK!F7," ",ALAPADATOK!G7," ",ALAPADATOK!H7)</f>
        <v>10. melléklet a 15 / 2021. ( IX.30. ) önkormányzati rendelethez</v>
      </c>
      <c r="B1" s="1474"/>
      <c r="C1" s="1474"/>
      <c r="D1" s="1474"/>
      <c r="E1" s="1474"/>
    </row>
    <row r="2" spans="1:5" x14ac:dyDescent="0.2">
      <c r="A2" s="826"/>
      <c r="B2" s="826"/>
      <c r="C2" s="826"/>
      <c r="D2" s="826"/>
      <c r="E2" s="826"/>
    </row>
    <row r="3" spans="1:5" ht="38.25" customHeight="1" x14ac:dyDescent="0.25">
      <c r="A3" s="1471" t="s">
        <v>1027</v>
      </c>
      <c r="B3" s="1471"/>
      <c r="C3" s="1471"/>
      <c r="D3" s="1471"/>
      <c r="E3" s="1471"/>
    </row>
    <row r="4" spans="1:5" x14ac:dyDescent="0.2">
      <c r="A4" s="826"/>
      <c r="B4" s="826"/>
      <c r="C4" s="826"/>
      <c r="D4" s="826"/>
      <c r="E4" s="826"/>
    </row>
    <row r="5" spans="1:5" ht="56.25" customHeight="1" thickBot="1" x14ac:dyDescent="0.3">
      <c r="A5" s="1471" t="s">
        <v>1028</v>
      </c>
      <c r="B5" s="1471"/>
      <c r="C5" s="1471"/>
      <c r="D5" s="1471"/>
      <c r="E5" s="1471"/>
    </row>
    <row r="6" spans="1:5" ht="15" customHeight="1" thickBot="1" x14ac:dyDescent="0.25">
      <c r="A6" s="783" t="s">
        <v>532</v>
      </c>
      <c r="B6" s="784" t="s">
        <v>805</v>
      </c>
      <c r="C6" s="784" t="s">
        <v>797</v>
      </c>
      <c r="D6" s="784" t="s">
        <v>806</v>
      </c>
      <c r="E6" s="785" t="s">
        <v>48</v>
      </c>
    </row>
    <row r="7" spans="1:5" x14ac:dyDescent="0.2">
      <c r="A7" s="753" t="s">
        <v>533</v>
      </c>
      <c r="B7" s="754"/>
      <c r="C7" s="754"/>
      <c r="D7" s="754"/>
      <c r="E7" s="755">
        <f>SUM(B7:D7)</f>
        <v>0</v>
      </c>
    </row>
    <row r="8" spans="1:5" x14ac:dyDescent="0.2">
      <c r="A8" s="756" t="s">
        <v>534</v>
      </c>
      <c r="B8" s="757"/>
      <c r="C8" s="757"/>
      <c r="D8" s="757"/>
      <c r="E8" s="758">
        <f t="shared" ref="E8:E12" si="0">SUM(B8:D8)</f>
        <v>0</v>
      </c>
    </row>
    <row r="9" spans="1:5" x14ac:dyDescent="0.2">
      <c r="A9" s="759" t="s">
        <v>535</v>
      </c>
      <c r="B9" s="760">
        <v>85000000</v>
      </c>
      <c r="C9" s="760"/>
      <c r="D9" s="760"/>
      <c r="E9" s="761">
        <f t="shared" si="0"/>
        <v>85000000</v>
      </c>
    </row>
    <row r="10" spans="1:5" x14ac:dyDescent="0.2">
      <c r="A10" s="759" t="s">
        <v>536</v>
      </c>
      <c r="B10" s="760"/>
      <c r="C10" s="760"/>
      <c r="D10" s="760"/>
      <c r="E10" s="761">
        <f t="shared" si="0"/>
        <v>0</v>
      </c>
    </row>
    <row r="11" spans="1:5" x14ac:dyDescent="0.2">
      <c r="A11" s="759" t="s">
        <v>110</v>
      </c>
      <c r="B11" s="760"/>
      <c r="C11" s="760"/>
      <c r="D11" s="760"/>
      <c r="E11" s="761">
        <f t="shared" si="0"/>
        <v>0</v>
      </c>
    </row>
    <row r="12" spans="1:5" ht="13.5" thickBot="1" x14ac:dyDescent="0.25">
      <c r="A12" s="759" t="s">
        <v>537</v>
      </c>
      <c r="B12" s="760">
        <v>717804</v>
      </c>
      <c r="C12" s="760"/>
      <c r="D12" s="760"/>
      <c r="E12" s="761">
        <f t="shared" si="0"/>
        <v>717804</v>
      </c>
    </row>
    <row r="13" spans="1:5" ht="13.5" thickBot="1" x14ac:dyDescent="0.25">
      <c r="A13" s="786" t="s">
        <v>538</v>
      </c>
      <c r="B13" s="764">
        <f>SUM(B7:B12)</f>
        <v>85717804</v>
      </c>
      <c r="C13" s="764">
        <f>SUM(C7:C12)</f>
        <v>0</v>
      </c>
      <c r="D13" s="764">
        <f>SUM(D7:D12)</f>
        <v>0</v>
      </c>
      <c r="E13" s="752">
        <f>SUM(E7:E12)</f>
        <v>85717804</v>
      </c>
    </row>
    <row r="14" spans="1:5" ht="15" customHeight="1" thickBot="1" x14ac:dyDescent="0.25">
      <c r="A14" s="783" t="s">
        <v>539</v>
      </c>
      <c r="B14" s="784" t="str">
        <f>B6</f>
        <v>2021. előtt</v>
      </c>
      <c r="C14" s="784" t="str">
        <f>C6</f>
        <v>2021.</v>
      </c>
      <c r="D14" s="784" t="str">
        <f>D6</f>
        <v>2021. után</v>
      </c>
      <c r="E14" s="785" t="s">
        <v>48</v>
      </c>
    </row>
    <row r="15" spans="1:5" x14ac:dyDescent="0.2">
      <c r="A15" s="753" t="s">
        <v>540</v>
      </c>
      <c r="B15" s="754"/>
      <c r="C15" s="754">
        <v>2125000</v>
      </c>
      <c r="D15" s="754"/>
      <c r="E15" s="755">
        <f t="shared" ref="E15:E16" si="1">SUM(B15:D15)</f>
        <v>2125000</v>
      </c>
    </row>
    <row r="16" spans="1:5" x14ac:dyDescent="0.2">
      <c r="A16" s="765" t="s">
        <v>541</v>
      </c>
      <c r="B16" s="760">
        <v>80820690</v>
      </c>
      <c r="C16" s="760"/>
      <c r="D16" s="760"/>
      <c r="E16" s="761">
        <f t="shared" si="1"/>
        <v>80820690</v>
      </c>
    </row>
    <row r="17" spans="1:5" x14ac:dyDescent="0.2">
      <c r="A17" s="759" t="s">
        <v>542</v>
      </c>
      <c r="B17" s="760">
        <f>1156720+717804</f>
        <v>1874524</v>
      </c>
      <c r="C17" s="449"/>
      <c r="D17" s="760"/>
      <c r="E17" s="761">
        <f>SUM(B17:D17)</f>
        <v>1874524</v>
      </c>
    </row>
    <row r="18" spans="1:5" x14ac:dyDescent="0.2">
      <c r="A18" s="759" t="s">
        <v>543</v>
      </c>
      <c r="B18" s="760"/>
      <c r="C18" s="760"/>
      <c r="D18" s="760"/>
      <c r="E18" s="761">
        <f t="shared" ref="E18:E20" si="2">SUM(B18:D18)</f>
        <v>0</v>
      </c>
    </row>
    <row r="19" spans="1:5" x14ac:dyDescent="0.2">
      <c r="A19" s="766" t="s">
        <v>544</v>
      </c>
      <c r="B19" s="760"/>
      <c r="C19" s="760">
        <v>897590</v>
      </c>
      <c r="D19" s="760"/>
      <c r="E19" s="761">
        <f t="shared" si="2"/>
        <v>897590</v>
      </c>
    </row>
    <row r="20" spans="1:5" ht="13.5" thickBot="1" x14ac:dyDescent="0.25">
      <c r="A20" s="766" t="s">
        <v>545</v>
      </c>
      <c r="B20" s="760"/>
      <c r="C20" s="760"/>
      <c r="D20" s="760"/>
      <c r="E20" s="761">
        <f t="shared" si="2"/>
        <v>0</v>
      </c>
    </row>
    <row r="21" spans="1:5" ht="13.5" thickBot="1" x14ac:dyDescent="0.25">
      <c r="A21" s="786" t="s">
        <v>49</v>
      </c>
      <c r="B21" s="764">
        <f>SUM(B15:B20)</f>
        <v>82695214</v>
      </c>
      <c r="C21" s="764">
        <f>SUM(C15:C20)</f>
        <v>3022590</v>
      </c>
      <c r="D21" s="764">
        <f>SUM(D15:D20)</f>
        <v>0</v>
      </c>
      <c r="E21" s="752">
        <f>SUM(E15:E20)</f>
        <v>85717804</v>
      </c>
    </row>
    <row r="22" spans="1:5" ht="69" customHeight="1" thickBot="1" x14ac:dyDescent="0.3">
      <c r="A22" s="1471" t="s">
        <v>1026</v>
      </c>
      <c r="B22" s="1471"/>
      <c r="C22" s="1471"/>
      <c r="D22" s="1471"/>
      <c r="E22" s="1471"/>
    </row>
    <row r="23" spans="1:5" s="658" customFormat="1" ht="13.5" thickBot="1" x14ac:dyDescent="0.25">
      <c r="A23" s="783" t="s">
        <v>532</v>
      </c>
      <c r="B23" s="784" t="s">
        <v>805</v>
      </c>
      <c r="C23" s="784" t="s">
        <v>797</v>
      </c>
      <c r="D23" s="784" t="s">
        <v>806</v>
      </c>
      <c r="E23" s="785" t="s">
        <v>48</v>
      </c>
    </row>
    <row r="24" spans="1:5" s="658" customFormat="1" x14ac:dyDescent="0.2">
      <c r="A24" s="753" t="s">
        <v>533</v>
      </c>
      <c r="B24" s="754"/>
      <c r="C24" s="1189">
        <f>39000+1460034+539760</f>
        <v>2038794</v>
      </c>
      <c r="D24" s="754"/>
      <c r="E24" s="741">
        <f>SUM(B24:D24)</f>
        <v>2038794</v>
      </c>
    </row>
    <row r="25" spans="1:5" s="658" customFormat="1" x14ac:dyDescent="0.2">
      <c r="A25" s="756" t="s">
        <v>534</v>
      </c>
      <c r="B25" s="757"/>
      <c r="C25" s="757"/>
      <c r="D25" s="757"/>
      <c r="E25" s="744">
        <f t="shared" ref="E25:E30" si="3">SUM(B25:D25)</f>
        <v>0</v>
      </c>
    </row>
    <row r="26" spans="1:5" s="658" customFormat="1" x14ac:dyDescent="0.2">
      <c r="A26" s="759" t="s">
        <v>535</v>
      </c>
      <c r="B26" s="760">
        <v>363618656</v>
      </c>
      <c r="C26" s="760">
        <v>6350000</v>
      </c>
      <c r="D26" s="760"/>
      <c r="E26" s="796">
        <f t="shared" si="3"/>
        <v>369968656</v>
      </c>
    </row>
    <row r="27" spans="1:5" s="658" customFormat="1" x14ac:dyDescent="0.2">
      <c r="A27" s="759" t="s">
        <v>536</v>
      </c>
      <c r="B27" s="760"/>
      <c r="C27" s="760"/>
      <c r="D27" s="760"/>
      <c r="E27" s="796">
        <f t="shared" si="3"/>
        <v>0</v>
      </c>
    </row>
    <row r="28" spans="1:5" s="658" customFormat="1" x14ac:dyDescent="0.2">
      <c r="A28" s="759" t="s">
        <v>110</v>
      </c>
      <c r="B28" s="795"/>
      <c r="C28" s="760"/>
      <c r="D28" s="760"/>
      <c r="E28" s="796">
        <f t="shared" si="3"/>
        <v>0</v>
      </c>
    </row>
    <row r="29" spans="1:5" s="658" customFormat="1" x14ac:dyDescent="0.2">
      <c r="A29" s="759" t="s">
        <v>537</v>
      </c>
      <c r="B29" s="760"/>
      <c r="C29" s="760">
        <v>243600</v>
      </c>
      <c r="D29" s="760"/>
      <c r="E29" s="796">
        <f t="shared" si="3"/>
        <v>243600</v>
      </c>
    </row>
    <row r="30" spans="1:5" s="658" customFormat="1" ht="13.5" thickBot="1" x14ac:dyDescent="0.25">
      <c r="A30" s="762"/>
      <c r="B30" s="763"/>
      <c r="C30" s="763"/>
      <c r="D30" s="763"/>
      <c r="E30" s="796">
        <f t="shared" si="3"/>
        <v>0</v>
      </c>
    </row>
    <row r="31" spans="1:5" s="658" customFormat="1" ht="13.5" thickBot="1" x14ac:dyDescent="0.25">
      <c r="A31" s="786" t="s">
        <v>538</v>
      </c>
      <c r="B31" s="787">
        <f>SUM(B24:B30)</f>
        <v>363618656</v>
      </c>
      <c r="C31" s="787">
        <f>SUM(C24:C30)</f>
        <v>8632394</v>
      </c>
      <c r="D31" s="787">
        <f>SUM(D24:D30)</f>
        <v>0</v>
      </c>
      <c r="E31" s="788">
        <f>SUM(E24:E30)</f>
        <v>372251050</v>
      </c>
    </row>
    <row r="32" spans="1:5" s="658" customFormat="1" ht="13.5" thickBot="1" x14ac:dyDescent="0.25">
      <c r="A32" s="783" t="s">
        <v>539</v>
      </c>
      <c r="B32" s="784" t="str">
        <f>B23</f>
        <v>2021. előtt</v>
      </c>
      <c r="C32" s="784" t="str">
        <f>C23</f>
        <v>2021.</v>
      </c>
      <c r="D32" s="784" t="str">
        <f>D23</f>
        <v>2021. után</v>
      </c>
      <c r="E32" s="1170" t="s">
        <v>48</v>
      </c>
    </row>
    <row r="33" spans="1:7" s="658" customFormat="1" x14ac:dyDescent="0.2">
      <c r="A33" s="753" t="s">
        <v>540</v>
      </c>
      <c r="B33" s="754"/>
      <c r="C33" s="754">
        <v>0</v>
      </c>
      <c r="D33" s="754"/>
      <c r="E33" s="755">
        <f t="shared" ref="E33:E38" si="4">SUM(B33:D33)</f>
        <v>0</v>
      </c>
    </row>
    <row r="34" spans="1:7" s="658" customFormat="1" x14ac:dyDescent="0.2">
      <c r="A34" s="765" t="s">
        <v>541</v>
      </c>
      <c r="B34" s="760">
        <v>13381600</v>
      </c>
      <c r="C34" s="449">
        <f>334140192+460000-99693863-42904652+101513834+188982+395000+5157+1393+11346+3064</f>
        <v>294120453</v>
      </c>
      <c r="D34" s="760"/>
      <c r="E34" s="761">
        <f>SUM(B34:D34)</f>
        <v>307502053</v>
      </c>
    </row>
    <row r="35" spans="1:7" s="658" customFormat="1" x14ac:dyDescent="0.2">
      <c r="A35" s="759" t="s">
        <v>542</v>
      </c>
      <c r="B35" s="760">
        <v>10910905</v>
      </c>
      <c r="C35" s="449">
        <f>5429559+3706131+498268-63914+306000+80000+43800</f>
        <v>9999844</v>
      </c>
      <c r="D35" s="760"/>
      <c r="E35" s="761">
        <f t="shared" si="4"/>
        <v>20910749</v>
      </c>
    </row>
    <row r="36" spans="1:7" s="658" customFormat="1" x14ac:dyDescent="0.2">
      <c r="A36" s="759" t="s">
        <v>543</v>
      </c>
      <c r="B36" s="760"/>
      <c r="C36" s="760">
        <v>39000</v>
      </c>
      <c r="D36" s="760"/>
      <c r="E36" s="761">
        <f t="shared" si="4"/>
        <v>39000</v>
      </c>
    </row>
    <row r="37" spans="1:7" s="658" customFormat="1" x14ac:dyDescent="0.2">
      <c r="A37" s="766" t="s">
        <v>544</v>
      </c>
      <c r="B37" s="760"/>
      <c r="C37" s="449">
        <v>43799248</v>
      </c>
      <c r="D37" s="760"/>
      <c r="E37" s="761">
        <f t="shared" si="4"/>
        <v>43799248</v>
      </c>
    </row>
    <row r="38" spans="1:7" s="658" customFormat="1" ht="13.5" thickBot="1" x14ac:dyDescent="0.25">
      <c r="A38" s="766" t="s">
        <v>545</v>
      </c>
      <c r="B38" s="795"/>
      <c r="C38" s="760"/>
      <c r="D38" s="760"/>
      <c r="E38" s="761">
        <f t="shared" si="4"/>
        <v>0</v>
      </c>
    </row>
    <row r="39" spans="1:7" s="658" customFormat="1" ht="13.5" thickBot="1" x14ac:dyDescent="0.25">
      <c r="A39" s="786" t="s">
        <v>49</v>
      </c>
      <c r="B39" s="787">
        <f>SUM(B33:B38)</f>
        <v>24292505</v>
      </c>
      <c r="C39" s="787">
        <f>SUM(C33:C38)</f>
        <v>347958545</v>
      </c>
      <c r="D39" s="787">
        <f>SUM(D33:D38)</f>
        <v>0</v>
      </c>
      <c r="E39" s="788">
        <f>SUM(E33:E38)</f>
        <v>372251050</v>
      </c>
      <c r="G39" s="751">
        <f>E31-C39-B39</f>
        <v>0</v>
      </c>
    </row>
    <row r="40" spans="1:7" x14ac:dyDescent="0.2">
      <c r="A40" s="826"/>
      <c r="B40" s="826"/>
      <c r="C40" s="826"/>
      <c r="D40" s="826"/>
      <c r="E40" s="826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topLeftCell="A2" zoomScaleSheetLayoutView="85" workbookViewId="0">
      <selection activeCell="I8" sqref="I8"/>
    </sheetView>
  </sheetViews>
  <sheetFormatPr defaultColWidth="9.33203125" defaultRowHeight="12.75" x14ac:dyDescent="0.2"/>
  <cols>
    <col min="1" max="1" width="38.6640625" style="828" customWidth="1"/>
    <col min="2" max="5" width="13.83203125" style="828" customWidth="1"/>
    <col min="6" max="6" width="9.33203125" style="828"/>
    <col min="7" max="7" width="10.1640625" style="828" bestFit="1" customWidth="1"/>
    <col min="8" max="16384" width="9.33203125" style="828"/>
  </cols>
  <sheetData>
    <row r="1" spans="1:5" x14ac:dyDescent="0.2">
      <c r="A1" s="1470" t="str">
        <f>CONCATENATE("11. melléklet"," ",ALAPADATOK!A7," ",ALAPADATOK!B7," ",ALAPADATOK!C7," ",ALAPADATOK!D7," ",ALAPADATOK!E7," ",ALAPADATOK!F7," ",ALAPADATOK!G7," ",ALAPADATOK!H7)</f>
        <v>11. melléklet a 15 / 2021. ( IX.30. ) önkormányzati rendelethez</v>
      </c>
      <c r="B1" s="1470"/>
      <c r="C1" s="1470"/>
      <c r="D1" s="1470"/>
      <c r="E1" s="1470"/>
    </row>
    <row r="2" spans="1:5" ht="52.5" customHeight="1" x14ac:dyDescent="0.25">
      <c r="A2" s="1471" t="s">
        <v>1029</v>
      </c>
      <c r="B2" s="1471"/>
      <c r="C2" s="1471"/>
      <c r="D2" s="1471"/>
      <c r="E2" s="1471"/>
    </row>
    <row r="3" spans="1:5" x14ac:dyDescent="0.2">
      <c r="A3" s="767"/>
      <c r="B3" s="767"/>
      <c r="C3" s="767"/>
      <c r="D3" s="767"/>
      <c r="E3" s="767"/>
    </row>
    <row r="4" spans="1:5" ht="74.25" customHeight="1" thickBot="1" x14ac:dyDescent="0.3">
      <c r="A4" s="1471" t="s">
        <v>1030</v>
      </c>
      <c r="B4" s="1471"/>
      <c r="C4" s="1471"/>
      <c r="D4" s="1471"/>
      <c r="E4" s="1471"/>
    </row>
    <row r="5" spans="1:5" ht="15" customHeight="1" thickBot="1" x14ac:dyDescent="0.25">
      <c r="A5" s="783" t="s">
        <v>532</v>
      </c>
      <c r="B5" s="784" t="s">
        <v>805</v>
      </c>
      <c r="C5" s="784" t="s">
        <v>797</v>
      </c>
      <c r="D5" s="784" t="s">
        <v>806</v>
      </c>
      <c r="E5" s="785" t="s">
        <v>48</v>
      </c>
    </row>
    <row r="6" spans="1:5" x14ac:dyDescent="0.2">
      <c r="A6" s="753" t="s">
        <v>533</v>
      </c>
      <c r="B6" s="754"/>
      <c r="C6" s="754"/>
      <c r="D6" s="754"/>
      <c r="E6" s="755">
        <f>SUM(B6:D6)</f>
        <v>0</v>
      </c>
    </row>
    <row r="7" spans="1:5" x14ac:dyDescent="0.2">
      <c r="A7" s="756" t="s">
        <v>534</v>
      </c>
      <c r="B7" s="757"/>
      <c r="C7" s="757"/>
      <c r="D7" s="757"/>
      <c r="E7" s="758">
        <f t="shared" ref="E7:E12" si="0">SUM(B7:D7)</f>
        <v>0</v>
      </c>
    </row>
    <row r="8" spans="1:5" x14ac:dyDescent="0.2">
      <c r="A8" s="759" t="s">
        <v>535</v>
      </c>
      <c r="B8" s="760">
        <f>16392698+2634996</f>
        <v>19027694</v>
      </c>
      <c r="C8" s="760"/>
      <c r="D8" s="760"/>
      <c r="E8" s="761">
        <f t="shared" si="0"/>
        <v>19027694</v>
      </c>
    </row>
    <row r="9" spans="1:5" x14ac:dyDescent="0.2">
      <c r="A9" s="759" t="s">
        <v>536</v>
      </c>
      <c r="B9" s="760"/>
      <c r="C9" s="760"/>
      <c r="D9" s="760"/>
      <c r="E9" s="761">
        <f t="shared" si="0"/>
        <v>0</v>
      </c>
    </row>
    <row r="10" spans="1:5" x14ac:dyDescent="0.2">
      <c r="A10" s="759" t="s">
        <v>110</v>
      </c>
      <c r="B10" s="795"/>
      <c r="C10" s="760"/>
      <c r="D10" s="760"/>
      <c r="E10" s="761">
        <f t="shared" si="0"/>
        <v>0</v>
      </c>
    </row>
    <row r="11" spans="1:5" ht="13.5" thickBot="1" x14ac:dyDescent="0.25">
      <c r="A11" s="759" t="s">
        <v>537</v>
      </c>
      <c r="B11" s="760"/>
      <c r="C11" s="795"/>
      <c r="D11" s="795"/>
      <c r="E11" s="796">
        <f t="shared" si="0"/>
        <v>0</v>
      </c>
    </row>
    <row r="12" spans="1:5" ht="13.5" thickBot="1" x14ac:dyDescent="0.25">
      <c r="A12" s="786" t="s">
        <v>538</v>
      </c>
      <c r="B12" s="764">
        <f>B6+SUM(B8:B11)</f>
        <v>19027694</v>
      </c>
      <c r="C12" s="787">
        <f>C6+SUM(C8:C11)</f>
        <v>0</v>
      </c>
      <c r="D12" s="787">
        <f>D6+SUM(D8:D11)</f>
        <v>0</v>
      </c>
      <c r="E12" s="788">
        <f t="shared" si="0"/>
        <v>19027694</v>
      </c>
    </row>
    <row r="13" spans="1:5" ht="13.5" thickBot="1" x14ac:dyDescent="0.25">
      <c r="A13" s="1169"/>
      <c r="B13" s="1169"/>
      <c r="C13" s="1169"/>
      <c r="D13" s="1169"/>
      <c r="E13" s="1169"/>
    </row>
    <row r="14" spans="1:5" ht="15" customHeight="1" thickBot="1" x14ac:dyDescent="0.25">
      <c r="A14" s="783" t="s">
        <v>539</v>
      </c>
      <c r="B14" s="784" t="str">
        <f>B5</f>
        <v>2021. előtt</v>
      </c>
      <c r="C14" s="784" t="str">
        <f>C5</f>
        <v>2021.</v>
      </c>
      <c r="D14" s="784" t="str">
        <f>D5</f>
        <v>2021. után</v>
      </c>
      <c r="E14" s="785" t="s">
        <v>48</v>
      </c>
    </row>
    <row r="15" spans="1:5" x14ac:dyDescent="0.2">
      <c r="A15" s="753" t="s">
        <v>540</v>
      </c>
      <c r="B15" s="754"/>
      <c r="C15" s="754">
        <f>406220+63980</f>
        <v>470200</v>
      </c>
      <c r="D15" s="754"/>
      <c r="E15" s="755">
        <f t="shared" ref="E15:E21" si="1">SUM(B15:D15)</f>
        <v>470200</v>
      </c>
    </row>
    <row r="16" spans="1:5" x14ac:dyDescent="0.2">
      <c r="A16" s="765" t="s">
        <v>541</v>
      </c>
      <c r="B16" s="760"/>
      <c r="C16" s="760"/>
      <c r="D16" s="760"/>
      <c r="E16" s="761">
        <f t="shared" si="1"/>
        <v>0</v>
      </c>
    </row>
    <row r="17" spans="1:5" x14ac:dyDescent="0.2">
      <c r="A17" s="759" t="s">
        <v>542</v>
      </c>
      <c r="B17" s="760">
        <f>635000+4476750+4476750</f>
        <v>9588500</v>
      </c>
      <c r="C17" s="760">
        <f>17907000-B17+635000</f>
        <v>8953500</v>
      </c>
      <c r="D17" s="760"/>
      <c r="E17" s="761">
        <f t="shared" si="1"/>
        <v>18542000</v>
      </c>
    </row>
    <row r="18" spans="1:5" x14ac:dyDescent="0.2">
      <c r="A18" s="759" t="s">
        <v>543</v>
      </c>
      <c r="B18" s="760"/>
      <c r="C18" s="760"/>
      <c r="D18" s="760"/>
      <c r="E18" s="761">
        <f t="shared" si="1"/>
        <v>0</v>
      </c>
    </row>
    <row r="19" spans="1:5" x14ac:dyDescent="0.2">
      <c r="A19" s="766" t="s">
        <v>813</v>
      </c>
      <c r="B19" s="760"/>
      <c r="C19" s="760">
        <v>15494</v>
      </c>
      <c r="D19" s="760"/>
      <c r="E19" s="761">
        <f t="shared" si="1"/>
        <v>15494</v>
      </c>
    </row>
    <row r="20" spans="1:5" ht="13.5" thickBot="1" x14ac:dyDescent="0.25">
      <c r="A20" s="766" t="s">
        <v>545</v>
      </c>
      <c r="B20" s="795"/>
      <c r="C20" s="760"/>
      <c r="D20" s="760"/>
      <c r="E20" s="761">
        <f t="shared" si="1"/>
        <v>0</v>
      </c>
    </row>
    <row r="21" spans="1:5" ht="13.5" thickBot="1" x14ac:dyDescent="0.25">
      <c r="A21" s="786" t="s">
        <v>49</v>
      </c>
      <c r="B21" s="787">
        <f>SUM(B15:B20)</f>
        <v>9588500</v>
      </c>
      <c r="C21" s="787">
        <f>SUM(C15:C20)</f>
        <v>9439194</v>
      </c>
      <c r="D21" s="787">
        <f>SUM(D15:D20)</f>
        <v>0</v>
      </c>
      <c r="E21" s="788">
        <f t="shared" si="1"/>
        <v>19027694</v>
      </c>
    </row>
    <row r="22" spans="1:5" x14ac:dyDescent="0.2">
      <c r="A22" s="767"/>
      <c r="B22" s="767"/>
      <c r="C22" s="767"/>
      <c r="D22" s="767"/>
      <c r="E22" s="767"/>
    </row>
    <row r="23" spans="1:5" ht="48.75" customHeight="1" x14ac:dyDescent="0.25">
      <c r="A23" s="1471" t="s">
        <v>1031</v>
      </c>
      <c r="B23" s="1471"/>
      <c r="C23" s="1471"/>
      <c r="D23" s="1471"/>
      <c r="E23" s="1471"/>
    </row>
    <row r="24" spans="1:5" ht="14.25" thickBot="1" x14ac:dyDescent="0.3">
      <c r="A24" s="738"/>
      <c r="B24" s="738"/>
      <c r="C24" s="738"/>
      <c r="D24" s="1472"/>
      <c r="E24" s="1472"/>
    </row>
    <row r="25" spans="1:5" ht="13.5" thickBot="1" x14ac:dyDescent="0.25">
      <c r="A25" s="783" t="s">
        <v>532</v>
      </c>
      <c r="B25" s="784" t="s">
        <v>805</v>
      </c>
      <c r="C25" s="784" t="s">
        <v>797</v>
      </c>
      <c r="D25" s="784" t="s">
        <v>806</v>
      </c>
      <c r="E25" s="785" t="s">
        <v>48</v>
      </c>
    </row>
    <row r="26" spans="1:5" x14ac:dyDescent="0.2">
      <c r="A26" s="739" t="s">
        <v>533</v>
      </c>
      <c r="B26" s="740"/>
      <c r="C26" s="740"/>
      <c r="D26" s="740"/>
      <c r="E26" s="741">
        <f>SUM(B26:D26)</f>
        <v>0</v>
      </c>
    </row>
    <row r="27" spans="1:5" x14ac:dyDescent="0.2">
      <c r="A27" s="742" t="s">
        <v>534</v>
      </c>
      <c r="B27" s="743"/>
      <c r="C27" s="743"/>
      <c r="D27" s="743"/>
      <c r="E27" s="796">
        <f t="shared" ref="E27:E32" si="2">SUM(B27:D27)</f>
        <v>0</v>
      </c>
    </row>
    <row r="28" spans="1:5" x14ac:dyDescent="0.2">
      <c r="A28" s="745" t="s">
        <v>535</v>
      </c>
      <c r="B28" s="795">
        <v>168611550</v>
      </c>
      <c r="C28" s="795">
        <v>6985000</v>
      </c>
      <c r="D28" s="795"/>
      <c r="E28" s="796">
        <f t="shared" si="2"/>
        <v>175596550</v>
      </c>
    </row>
    <row r="29" spans="1:5" x14ac:dyDescent="0.2">
      <c r="A29" s="745" t="s">
        <v>536</v>
      </c>
      <c r="B29" s="795"/>
      <c r="C29" s="795"/>
      <c r="D29" s="795"/>
      <c r="E29" s="796">
        <f t="shared" si="2"/>
        <v>0</v>
      </c>
    </row>
    <row r="30" spans="1:5" x14ac:dyDescent="0.2">
      <c r="A30" s="745" t="s">
        <v>110</v>
      </c>
      <c r="B30" s="795"/>
      <c r="C30" s="795"/>
      <c r="D30" s="795"/>
      <c r="E30" s="796">
        <f t="shared" si="2"/>
        <v>0</v>
      </c>
    </row>
    <row r="31" spans="1:5" ht="13.5" thickBot="1" x14ac:dyDescent="0.25">
      <c r="A31" s="745" t="s">
        <v>537</v>
      </c>
      <c r="B31" s="795"/>
      <c r="C31" s="795"/>
      <c r="D31" s="795"/>
      <c r="E31" s="796">
        <f t="shared" si="2"/>
        <v>0</v>
      </c>
    </row>
    <row r="32" spans="1:5" ht="13.5" thickBot="1" x14ac:dyDescent="0.25">
      <c r="A32" s="786" t="s">
        <v>538</v>
      </c>
      <c r="B32" s="787">
        <f>SUM(B26:B31)</f>
        <v>168611550</v>
      </c>
      <c r="C32" s="787">
        <f>SUM(C26:C31)</f>
        <v>6985000</v>
      </c>
      <c r="D32" s="787">
        <f>SUM(D26:D31)</f>
        <v>0</v>
      </c>
      <c r="E32" s="788">
        <f t="shared" si="2"/>
        <v>175596550</v>
      </c>
    </row>
    <row r="33" spans="1:5" ht="13.5" thickBot="1" x14ac:dyDescent="0.25">
      <c r="A33" s="747"/>
      <c r="B33" s="747"/>
      <c r="C33" s="747"/>
      <c r="D33" s="747"/>
      <c r="E33" s="747"/>
    </row>
    <row r="34" spans="1:5" ht="13.5" thickBot="1" x14ac:dyDescent="0.25">
      <c r="A34" s="783" t="s">
        <v>539</v>
      </c>
      <c r="B34" s="784" t="str">
        <f>B25</f>
        <v>2021. előtt</v>
      </c>
      <c r="C34" s="784" t="str">
        <f>C25</f>
        <v>2021.</v>
      </c>
      <c r="D34" s="784" t="str">
        <f>D25</f>
        <v>2021. után</v>
      </c>
      <c r="E34" s="785" t="s">
        <v>48</v>
      </c>
    </row>
    <row r="35" spans="1:5" x14ac:dyDescent="0.2">
      <c r="A35" s="739" t="s">
        <v>540</v>
      </c>
      <c r="B35" s="740"/>
      <c r="C35" s="740"/>
      <c r="D35" s="740"/>
      <c r="E35" s="741">
        <f t="shared" ref="E35:E41" si="3">SUM(B35:D35)</f>
        <v>0</v>
      </c>
    </row>
    <row r="36" spans="1:5" x14ac:dyDescent="0.2">
      <c r="A36" s="748" t="s">
        <v>541</v>
      </c>
      <c r="B36" s="795">
        <v>8103000</v>
      </c>
      <c r="C36" s="795">
        <v>132077297</v>
      </c>
      <c r="D36" s="795"/>
      <c r="E36" s="796">
        <f t="shared" si="3"/>
        <v>140180297</v>
      </c>
    </row>
    <row r="37" spans="1:5" x14ac:dyDescent="0.2">
      <c r="A37" s="745" t="s">
        <v>542</v>
      </c>
      <c r="B37" s="795">
        <v>2825750</v>
      </c>
      <c r="C37" s="449">
        <f>3549650+361600+160000</f>
        <v>4071250</v>
      </c>
      <c r="D37" s="795"/>
      <c r="E37" s="796">
        <f t="shared" si="3"/>
        <v>6897000</v>
      </c>
    </row>
    <row r="38" spans="1:5" x14ac:dyDescent="0.2">
      <c r="A38" s="745" t="s">
        <v>543</v>
      </c>
      <c r="B38" s="795"/>
      <c r="C38" s="795"/>
      <c r="D38" s="795"/>
      <c r="E38" s="796">
        <f t="shared" si="3"/>
        <v>0</v>
      </c>
    </row>
    <row r="39" spans="1:5" x14ac:dyDescent="0.2">
      <c r="A39" s="749" t="s">
        <v>544</v>
      </c>
      <c r="B39" s="795"/>
      <c r="C39" s="449">
        <f>6985000-361600-160000</f>
        <v>6463400</v>
      </c>
      <c r="D39" s="795"/>
      <c r="E39" s="796">
        <f t="shared" si="3"/>
        <v>6463400</v>
      </c>
    </row>
    <row r="40" spans="1:5" ht="13.5" thickBot="1" x14ac:dyDescent="0.25">
      <c r="A40" s="749" t="s">
        <v>545</v>
      </c>
      <c r="B40" s="795"/>
      <c r="C40" s="795">
        <f>10800000+11255853</f>
        <v>22055853</v>
      </c>
      <c r="D40" s="795"/>
      <c r="E40" s="796">
        <f t="shared" si="3"/>
        <v>22055853</v>
      </c>
    </row>
    <row r="41" spans="1:5" ht="13.5" thickBot="1" x14ac:dyDescent="0.25">
      <c r="A41" s="786" t="s">
        <v>49</v>
      </c>
      <c r="B41" s="787">
        <f>SUM(B35:B40)</f>
        <v>10928750</v>
      </c>
      <c r="C41" s="787">
        <f>SUM(C35:C40)</f>
        <v>164667800</v>
      </c>
      <c r="D41" s="787">
        <f>SUM(D35:D40)</f>
        <v>0</v>
      </c>
      <c r="E41" s="788">
        <f t="shared" si="3"/>
        <v>175596550</v>
      </c>
    </row>
    <row r="42" spans="1:5" x14ac:dyDescent="0.2">
      <c r="A42" s="767"/>
      <c r="B42" s="767"/>
      <c r="C42" s="767"/>
      <c r="D42" s="767"/>
      <c r="E42" s="767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zoomScaleSheetLayoutView="85" workbookViewId="0">
      <selection activeCell="J5" sqref="J5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16384" width="9.33203125" style="827"/>
  </cols>
  <sheetData>
    <row r="1" spans="1:6" x14ac:dyDescent="0.2">
      <c r="A1" s="1474" t="str">
        <f>CONCATENATE("12. melléklet ",ALAPADATOK!A7," ",ALAPADATOK!B7," ",ALAPADATOK!C7," ",ALAPADATOK!D7," ",ALAPADATOK!E7," ",ALAPADATOK!F7," ",ALAPADATOK!G7," ",ALAPADATOK!H7)</f>
        <v>12. melléklet a 15 / 2021. ( IX.30. ) önkormányzati rendelethez</v>
      </c>
      <c r="B1" s="1474"/>
      <c r="C1" s="1474"/>
      <c r="D1" s="1474"/>
      <c r="E1" s="1474"/>
    </row>
    <row r="2" spans="1:6" x14ac:dyDescent="0.2">
      <c r="A2" s="826"/>
      <c r="B2" s="826"/>
      <c r="C2" s="826"/>
      <c r="D2" s="826"/>
      <c r="E2" s="826"/>
    </row>
    <row r="3" spans="1:6" ht="48.75" customHeight="1" x14ac:dyDescent="0.25">
      <c r="A3" s="1471" t="s">
        <v>1075</v>
      </c>
      <c r="B3" s="1471"/>
      <c r="C3" s="1471"/>
      <c r="D3" s="1471"/>
      <c r="E3" s="1471"/>
    </row>
    <row r="4" spans="1:6" x14ac:dyDescent="0.2">
      <c r="A4" s="826"/>
      <c r="B4" s="826"/>
      <c r="C4" s="826"/>
      <c r="D4" s="826"/>
      <c r="E4" s="826"/>
    </row>
    <row r="5" spans="1:6" ht="74.25" customHeight="1" x14ac:dyDescent="0.2">
      <c r="A5" s="1475" t="s">
        <v>948</v>
      </c>
      <c r="B5" s="1475"/>
      <c r="C5" s="1475"/>
      <c r="D5" s="1475"/>
      <c r="E5" s="1475"/>
      <c r="F5" s="828"/>
    </row>
    <row r="6" spans="1:6" ht="14.25" thickBot="1" x14ac:dyDescent="0.3">
      <c r="A6" s="829"/>
      <c r="B6" s="829"/>
      <c r="C6" s="829"/>
      <c r="D6" s="1476" t="s">
        <v>502</v>
      </c>
      <c r="E6" s="1476"/>
      <c r="F6" s="828"/>
    </row>
    <row r="7" spans="1:6" ht="15" customHeight="1" thickBot="1" x14ac:dyDescent="0.25">
      <c r="A7" s="1210" t="s">
        <v>532</v>
      </c>
      <c r="B7" s="1211" t="s">
        <v>805</v>
      </c>
      <c r="C7" s="1211" t="s">
        <v>797</v>
      </c>
      <c r="D7" s="1211" t="s">
        <v>806</v>
      </c>
      <c r="E7" s="1212" t="s">
        <v>48</v>
      </c>
      <c r="F7" s="828"/>
    </row>
    <row r="8" spans="1:6" x14ac:dyDescent="0.2">
      <c r="A8" s="1208" t="s">
        <v>533</v>
      </c>
      <c r="B8" s="1209">
        <v>335000</v>
      </c>
      <c r="C8" s="1209">
        <v>4581667</v>
      </c>
      <c r="D8" s="1209"/>
      <c r="E8" s="1168">
        <f t="shared" ref="E8:E10" si="0">SUM(B8:D8)</f>
        <v>4916667</v>
      </c>
      <c r="F8" s="828"/>
    </row>
    <row r="9" spans="1:6" x14ac:dyDescent="0.2">
      <c r="A9" s="833" t="s">
        <v>534</v>
      </c>
      <c r="B9" s="834"/>
      <c r="C9" s="834"/>
      <c r="D9" s="834"/>
      <c r="E9" s="796">
        <f t="shared" si="0"/>
        <v>0</v>
      </c>
      <c r="F9" s="828"/>
    </row>
    <row r="10" spans="1:6" x14ac:dyDescent="0.2">
      <c r="A10" s="835" t="s">
        <v>535</v>
      </c>
      <c r="B10" s="836"/>
      <c r="C10" s="836">
        <v>44249999</v>
      </c>
      <c r="D10" s="836"/>
      <c r="E10" s="796">
        <f t="shared" si="0"/>
        <v>44249999</v>
      </c>
      <c r="F10" s="828"/>
    </row>
    <row r="11" spans="1:6" x14ac:dyDescent="0.2">
      <c r="A11" s="835" t="s">
        <v>536</v>
      </c>
      <c r="B11" s="836"/>
      <c r="C11" s="836"/>
      <c r="D11" s="836"/>
      <c r="E11" s="838">
        <v>0</v>
      </c>
      <c r="F11" s="828"/>
    </row>
    <row r="12" spans="1:6" x14ac:dyDescent="0.2">
      <c r="A12" s="835" t="s">
        <v>110</v>
      </c>
      <c r="B12" s="836"/>
      <c r="C12" s="836"/>
      <c r="D12" s="836"/>
      <c r="E12" s="838">
        <v>0</v>
      </c>
      <c r="F12" s="828"/>
    </row>
    <row r="13" spans="1:6" x14ac:dyDescent="0.2">
      <c r="A13" s="835" t="s">
        <v>537</v>
      </c>
      <c r="B13" s="836"/>
      <c r="C13" s="836"/>
      <c r="D13" s="836"/>
      <c r="E13" s="838">
        <v>0</v>
      </c>
      <c r="F13" s="828"/>
    </row>
    <row r="14" spans="1:6" ht="13.5" thickBot="1" x14ac:dyDescent="0.25">
      <c r="A14" s="839"/>
      <c r="B14" s="840"/>
      <c r="C14" s="840"/>
      <c r="D14" s="840"/>
      <c r="E14" s="838">
        <v>0</v>
      </c>
      <c r="F14" s="828"/>
    </row>
    <row r="15" spans="1:6" ht="13.5" thickBot="1" x14ac:dyDescent="0.25">
      <c r="A15" s="841" t="s">
        <v>538</v>
      </c>
      <c r="B15" s="787">
        <f>SUM(B8:B14)</f>
        <v>335000</v>
      </c>
      <c r="C15" s="787">
        <f>SUM(C8:C14)</f>
        <v>48831666</v>
      </c>
      <c r="D15" s="787">
        <f>SUM(D8:D14)</f>
        <v>0</v>
      </c>
      <c r="E15" s="787">
        <f>SUM(E8:E14)</f>
        <v>49166666</v>
      </c>
      <c r="F15" s="828"/>
    </row>
    <row r="16" spans="1:6" ht="13.5" thickBot="1" x14ac:dyDescent="0.25">
      <c r="A16" s="842"/>
      <c r="B16" s="842"/>
      <c r="C16" s="842"/>
      <c r="D16" s="842"/>
      <c r="E16" s="842"/>
      <c r="F16" s="828"/>
    </row>
    <row r="17" spans="1:6" ht="15" customHeight="1" thickBot="1" x14ac:dyDescent="0.25">
      <c r="A17" s="1210" t="s">
        <v>539</v>
      </c>
      <c r="B17" s="1211" t="s">
        <v>805</v>
      </c>
      <c r="C17" s="1211" t="s">
        <v>797</v>
      </c>
      <c r="D17" s="1211" t="s">
        <v>806</v>
      </c>
      <c r="E17" s="1212" t="s">
        <v>48</v>
      </c>
      <c r="F17" s="828"/>
    </row>
    <row r="18" spans="1:6" x14ac:dyDescent="0.2">
      <c r="A18" s="1208" t="s">
        <v>540</v>
      </c>
      <c r="B18" s="1209"/>
      <c r="C18" s="1209"/>
      <c r="D18" s="1209"/>
      <c r="E18" s="1168">
        <f t="shared" ref="E18:E24" si="1">SUM(B18:D18)</f>
        <v>0</v>
      </c>
      <c r="F18" s="828"/>
    </row>
    <row r="19" spans="1:6" x14ac:dyDescent="0.2">
      <c r="A19" s="844" t="s">
        <v>541</v>
      </c>
      <c r="B19" s="836">
        <v>335000</v>
      </c>
      <c r="C19" s="836">
        <v>48583956</v>
      </c>
      <c r="D19" s="836"/>
      <c r="E19" s="796">
        <f t="shared" si="1"/>
        <v>48918956</v>
      </c>
      <c r="F19" s="828"/>
    </row>
    <row r="20" spans="1:6" x14ac:dyDescent="0.2">
      <c r="A20" s="835" t="s">
        <v>542</v>
      </c>
      <c r="B20" s="836"/>
      <c r="C20" s="836">
        <v>247710</v>
      </c>
      <c r="D20" s="836"/>
      <c r="E20" s="796">
        <f t="shared" si="1"/>
        <v>247710</v>
      </c>
      <c r="F20" s="828"/>
    </row>
    <row r="21" spans="1:6" x14ac:dyDescent="0.2">
      <c r="A21" s="835" t="s">
        <v>543</v>
      </c>
      <c r="B21" s="836"/>
      <c r="C21" s="836"/>
      <c r="D21" s="836"/>
      <c r="E21" s="796">
        <f t="shared" si="1"/>
        <v>0</v>
      </c>
      <c r="F21" s="828"/>
    </row>
    <row r="22" spans="1:6" x14ac:dyDescent="0.2">
      <c r="A22" s="845" t="s">
        <v>544</v>
      </c>
      <c r="B22" s="836"/>
      <c r="C22" s="836"/>
      <c r="D22" s="836"/>
      <c r="E22" s="796">
        <f t="shared" si="1"/>
        <v>0</v>
      </c>
      <c r="F22" s="828"/>
    </row>
    <row r="23" spans="1:6" x14ac:dyDescent="0.2">
      <c r="A23" s="845" t="s">
        <v>545</v>
      </c>
      <c r="B23" s="836"/>
      <c r="C23" s="836"/>
      <c r="D23" s="836"/>
      <c r="E23" s="796">
        <f t="shared" si="1"/>
        <v>0</v>
      </c>
      <c r="F23" s="828"/>
    </row>
    <row r="24" spans="1:6" ht="13.5" thickBot="1" x14ac:dyDescent="0.25">
      <c r="A24" s="839"/>
      <c r="B24" s="840"/>
      <c r="C24" s="840"/>
      <c r="D24" s="840"/>
      <c r="E24" s="796">
        <f t="shared" si="1"/>
        <v>0</v>
      </c>
      <c r="F24" s="828"/>
    </row>
    <row r="25" spans="1:6" ht="13.5" thickBot="1" x14ac:dyDescent="0.25">
      <c r="A25" s="841" t="s">
        <v>49</v>
      </c>
      <c r="B25" s="787">
        <f>SUM(B18:B24)</f>
        <v>335000</v>
      </c>
      <c r="C25" s="787">
        <f>SUM(C18:C24)</f>
        <v>48831666</v>
      </c>
      <c r="D25" s="787">
        <f>SUM(D18:D24)</f>
        <v>0</v>
      </c>
      <c r="E25" s="787">
        <f>SUM(E18:E24)</f>
        <v>49166666</v>
      </c>
      <c r="F25" s="828"/>
    </row>
    <row r="26" spans="1:6" x14ac:dyDescent="0.2">
      <c r="A26" s="826"/>
      <c r="B26" s="826"/>
      <c r="C26" s="826"/>
      <c r="D26" s="826"/>
      <c r="E26" s="826"/>
    </row>
    <row r="27" spans="1:6" ht="48.75" customHeight="1" x14ac:dyDescent="0.25">
      <c r="A27" s="1477" t="s">
        <v>949</v>
      </c>
      <c r="B27" s="1477"/>
      <c r="C27" s="1477"/>
      <c r="D27" s="1477"/>
      <c r="E27" s="1477"/>
    </row>
    <row r="28" spans="1:6" ht="14.25" thickBot="1" x14ac:dyDescent="0.3">
      <c r="A28" s="829"/>
      <c r="B28" s="829"/>
      <c r="C28" s="829"/>
      <c r="D28" s="1476" t="s">
        <v>502</v>
      </c>
      <c r="E28" s="1476"/>
    </row>
    <row r="29" spans="1:6" ht="13.5" thickBot="1" x14ac:dyDescent="0.25">
      <c r="A29" s="830" t="s">
        <v>532</v>
      </c>
      <c r="B29" s="784" t="s">
        <v>805</v>
      </c>
      <c r="C29" s="784" t="s">
        <v>797</v>
      </c>
      <c r="D29" s="784" t="s">
        <v>806</v>
      </c>
      <c r="E29" s="785" t="s">
        <v>48</v>
      </c>
    </row>
    <row r="30" spans="1:6" x14ac:dyDescent="0.2">
      <c r="A30" s="831" t="s">
        <v>533</v>
      </c>
      <c r="B30" s="832"/>
      <c r="C30" s="1189">
        <f>444400+1</f>
        <v>444401</v>
      </c>
      <c r="D30" s="832"/>
      <c r="E30" s="741">
        <f>SUM(B30:D30)</f>
        <v>444401</v>
      </c>
    </row>
    <row r="31" spans="1:6" x14ac:dyDescent="0.2">
      <c r="A31" s="833" t="s">
        <v>534</v>
      </c>
      <c r="B31" s="834"/>
      <c r="C31" s="834"/>
      <c r="D31" s="834"/>
      <c r="E31" s="796">
        <f t="shared" ref="E31:E36" si="2">SUM(B31:D31)</f>
        <v>0</v>
      </c>
    </row>
    <row r="32" spans="1:6" x14ac:dyDescent="0.2">
      <c r="A32" s="835" t="s">
        <v>535</v>
      </c>
      <c r="B32" s="836"/>
      <c r="C32" s="837">
        <v>3999600</v>
      </c>
      <c r="D32" s="836"/>
      <c r="E32" s="796">
        <f t="shared" si="2"/>
        <v>3999600</v>
      </c>
    </row>
    <row r="33" spans="1:5" x14ac:dyDescent="0.2">
      <c r="A33" s="835" t="s">
        <v>536</v>
      </c>
      <c r="B33" s="836"/>
      <c r="C33" s="836"/>
      <c r="D33" s="836"/>
      <c r="E33" s="796">
        <f t="shared" si="2"/>
        <v>0</v>
      </c>
    </row>
    <row r="34" spans="1:5" x14ac:dyDescent="0.2">
      <c r="A34" s="835" t="s">
        <v>110</v>
      </c>
      <c r="B34" s="836"/>
      <c r="C34" s="836"/>
      <c r="D34" s="836"/>
      <c r="E34" s="796">
        <f t="shared" si="2"/>
        <v>0</v>
      </c>
    </row>
    <row r="35" spans="1:5" x14ac:dyDescent="0.2">
      <c r="A35" s="835" t="s">
        <v>537</v>
      </c>
      <c r="B35" s="836"/>
      <c r="C35" s="836"/>
      <c r="D35" s="836"/>
      <c r="E35" s="796">
        <f t="shared" si="2"/>
        <v>0</v>
      </c>
    </row>
    <row r="36" spans="1:5" ht="13.5" thickBot="1" x14ac:dyDescent="0.25">
      <c r="A36" s="839"/>
      <c r="B36" s="840"/>
      <c r="C36" s="840"/>
      <c r="D36" s="840"/>
      <c r="E36" s="1168">
        <f t="shared" si="2"/>
        <v>0</v>
      </c>
    </row>
    <row r="37" spans="1:5" ht="13.5" thickBot="1" x14ac:dyDescent="0.25">
      <c r="A37" s="841" t="s">
        <v>538</v>
      </c>
      <c r="B37" s="787">
        <f>SUM(B30:B36)</f>
        <v>0</v>
      </c>
      <c r="C37" s="787">
        <f>SUM(C30:C36)</f>
        <v>4444001</v>
      </c>
      <c r="D37" s="787">
        <f>SUM(D30:D36)</f>
        <v>0</v>
      </c>
      <c r="E37" s="788">
        <f>SUM(E30:E36)</f>
        <v>4444001</v>
      </c>
    </row>
    <row r="38" spans="1:5" ht="13.5" thickBot="1" x14ac:dyDescent="0.25">
      <c r="A38" s="842"/>
      <c r="B38" s="842"/>
      <c r="C38" s="842"/>
      <c r="D38" s="842"/>
      <c r="E38" s="842"/>
    </row>
    <row r="39" spans="1:5" ht="13.5" thickBot="1" x14ac:dyDescent="0.25">
      <c r="A39" s="830" t="s">
        <v>539</v>
      </c>
      <c r="B39" s="784" t="s">
        <v>805</v>
      </c>
      <c r="C39" s="784" t="s">
        <v>797</v>
      </c>
      <c r="D39" s="784" t="s">
        <v>806</v>
      </c>
      <c r="E39" s="785" t="s">
        <v>48</v>
      </c>
    </row>
    <row r="40" spans="1:5" x14ac:dyDescent="0.2">
      <c r="A40" s="831" t="s">
        <v>540</v>
      </c>
      <c r="B40" s="832"/>
      <c r="C40" s="843">
        <v>196850</v>
      </c>
      <c r="D40" s="832"/>
      <c r="E40" s="741">
        <f>SUM(B40:D40)</f>
        <v>196850</v>
      </c>
    </row>
    <row r="41" spans="1:5" x14ac:dyDescent="0.2">
      <c r="A41" s="844" t="s">
        <v>541</v>
      </c>
      <c r="B41" s="836"/>
      <c r="C41" s="449">
        <f>2197788+1</f>
        <v>2197789</v>
      </c>
      <c r="D41" s="836"/>
      <c r="E41" s="796">
        <f>SUM(B41:D41)</f>
        <v>2197789</v>
      </c>
    </row>
    <row r="42" spans="1:5" x14ac:dyDescent="0.2">
      <c r="A42" s="835" t="s">
        <v>542</v>
      </c>
      <c r="B42" s="836"/>
      <c r="C42" s="837">
        <v>2049362</v>
      </c>
      <c r="D42" s="836"/>
      <c r="E42" s="796">
        <f>SUM(B42:D42)</f>
        <v>2049362</v>
      </c>
    </row>
    <row r="43" spans="1:5" x14ac:dyDescent="0.2">
      <c r="A43" s="835" t="s">
        <v>543</v>
      </c>
      <c r="B43" s="836"/>
      <c r="C43" s="836"/>
      <c r="D43" s="836"/>
      <c r="E43" s="796">
        <f>SUM(B43:D43)</f>
        <v>0</v>
      </c>
    </row>
    <row r="44" spans="1:5" x14ac:dyDescent="0.2">
      <c r="A44" s="845" t="s">
        <v>544</v>
      </c>
      <c r="B44" s="836"/>
      <c r="C44" s="836"/>
      <c r="D44" s="836"/>
      <c r="E44" s="1168">
        <f>SUM(B44:D44)</f>
        <v>0</v>
      </c>
    </row>
    <row r="45" spans="1:5" x14ac:dyDescent="0.2">
      <c r="A45" s="845" t="s">
        <v>545</v>
      </c>
      <c r="B45" s="836"/>
      <c r="C45" s="836"/>
      <c r="D45" s="836"/>
      <c r="E45" s="838">
        <v>0</v>
      </c>
    </row>
    <row r="46" spans="1:5" ht="13.5" thickBot="1" x14ac:dyDescent="0.25">
      <c r="A46" s="839"/>
      <c r="B46" s="840"/>
      <c r="C46" s="840"/>
      <c r="D46" s="840"/>
      <c r="E46" s="838">
        <v>0</v>
      </c>
    </row>
    <row r="47" spans="1:5" ht="13.5" thickBot="1" x14ac:dyDescent="0.25">
      <c r="A47" s="841" t="s">
        <v>49</v>
      </c>
      <c r="B47" s="787">
        <f>SUM(B40:B46)</f>
        <v>0</v>
      </c>
      <c r="C47" s="787">
        <f>SUM(C40:C46)</f>
        <v>4444001</v>
      </c>
      <c r="D47" s="787">
        <f>SUM(D40:D46)</f>
        <v>0</v>
      </c>
      <c r="E47" s="788">
        <f>SUM(E40:E46)</f>
        <v>4444001</v>
      </c>
    </row>
    <row r="48" spans="1:5" x14ac:dyDescent="0.2">
      <c r="A48" s="826"/>
      <c r="B48" s="826"/>
      <c r="C48" s="826"/>
      <c r="D48" s="826"/>
      <c r="E48" s="826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tabSelected="1" zoomScale="115" zoomScaleNormal="115" zoomScaleSheetLayoutView="115" zoomScalePageLayoutView="85" workbookViewId="0">
      <selection activeCell="B16" sqref="B16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5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34" t="str">
        <f>CONCATENATE("1. melléklet"," ",ALAPADATOK!A7," ",ALAPADATOK!B7," ",ALAPADATOK!C7," ",ALAPADATOK!D7," ",ALAPADATOK!E7," ",ALAPADATOK!F7," ",ALAPADATOK!G7," ",ALAPADATOK!H7)</f>
        <v>1. melléklet a 15 / 2021. ( IX.30. ) önkormányzati rendelethez</v>
      </c>
      <c r="B1" s="1434"/>
      <c r="C1" s="1434"/>
      <c r="H1" s="334"/>
      <c r="I1" s="335"/>
    </row>
    <row r="2" spans="1:9" s="670" customFormat="1" x14ac:dyDescent="0.25">
      <c r="A2" s="692"/>
      <c r="B2" s="692"/>
      <c r="C2" s="692"/>
      <c r="H2" s="334"/>
      <c r="I2" s="335"/>
    </row>
    <row r="3" spans="1:9" s="662" customFormat="1" x14ac:dyDescent="0.25">
      <c r="A3" s="1439" t="str">
        <f>CONCATENATE(ALAPADATOK!A3)</f>
        <v>Tiszavasvári Város Önkormányzat</v>
      </c>
      <c r="B3" s="1439"/>
      <c r="C3" s="1439"/>
      <c r="D3" s="1439" t="s">
        <v>710</v>
      </c>
      <c r="E3" s="1439"/>
      <c r="F3" s="1439"/>
      <c r="H3" s="334"/>
      <c r="I3" s="335"/>
    </row>
    <row r="4" spans="1:9" s="662" customFormat="1" x14ac:dyDescent="0.25">
      <c r="A4" s="1438" t="str">
        <f>CONCATENATE(ALAPADATOK!D7," ÉVI KÖLTSÉGVETÉS")</f>
        <v>2021. ÉVI KÖLTSÉGVETÉS</v>
      </c>
      <c r="B4" s="1438"/>
      <c r="C4" s="1438"/>
      <c r="D4" s="1438" t="s">
        <v>987</v>
      </c>
      <c r="E4" s="1438"/>
      <c r="F4" s="1438"/>
      <c r="H4" s="334"/>
      <c r="I4" s="335"/>
    </row>
    <row r="5" spans="1:9" s="662" customFormat="1" x14ac:dyDescent="0.25">
      <c r="A5" s="1438" t="s">
        <v>714</v>
      </c>
      <c r="B5" s="1438"/>
      <c r="C5" s="1438"/>
      <c r="D5" s="1438" t="s">
        <v>714</v>
      </c>
      <c r="E5" s="1438"/>
      <c r="F5" s="1438"/>
      <c r="H5" s="334"/>
      <c r="I5" s="335"/>
    </row>
    <row r="6" spans="1:9" s="662" customFormat="1" x14ac:dyDescent="0.25">
      <c r="C6" s="815"/>
      <c r="H6" s="334"/>
      <c r="I6" s="335"/>
    </row>
    <row r="7" spans="1:9" ht="15.95" customHeight="1" x14ac:dyDescent="0.25">
      <c r="A7" s="1436" t="s">
        <v>13</v>
      </c>
      <c r="B7" s="1436"/>
      <c r="C7" s="1436"/>
      <c r="D7" s="814"/>
      <c r="E7" s="814"/>
      <c r="F7" s="814"/>
    </row>
    <row r="8" spans="1:9" ht="15.95" customHeight="1" thickBot="1" x14ac:dyDescent="0.3">
      <c r="A8" s="1250" t="s">
        <v>115</v>
      </c>
      <c r="B8" s="1250"/>
      <c r="C8" s="1033" t="s">
        <v>494</v>
      </c>
      <c r="D8" s="814"/>
      <c r="E8" s="814"/>
      <c r="F8" s="814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14" t="s">
        <v>499</v>
      </c>
      <c r="E9" s="814" t="s">
        <v>500</v>
      </c>
      <c r="F9" s="814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34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290">
        <f t="shared" si="0"/>
        <v>263054630</v>
      </c>
      <c r="D13" s="864">
        <f>254023920+8379000+651710</f>
        <v>263054630</v>
      </c>
      <c r="E13" s="864"/>
      <c r="F13" s="864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290">
        <f t="shared" si="0"/>
        <v>846202661</v>
      </c>
      <c r="D14" s="864">
        <f>SUM(D15:D16)</f>
        <v>846202661</v>
      </c>
      <c r="E14" s="864">
        <f>SUM(E15:E16)</f>
        <v>0</v>
      </c>
      <c r="F14" s="864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290">
        <f t="shared" si="0"/>
        <v>642804986</v>
      </c>
      <c r="D15" s="864">
        <f>635476079-1227663+10429183+1536897-3409510</f>
        <v>642804986</v>
      </c>
      <c r="E15" s="864"/>
      <c r="F15" s="864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290">
        <f t="shared" si="0"/>
        <v>203397675</v>
      </c>
      <c r="D16" s="864">
        <f>126258794+1334340+75804541</f>
        <v>203397675</v>
      </c>
      <c r="E16" s="864"/>
      <c r="F16" s="864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64">
        <f>40888120+1420296</f>
        <v>42308416</v>
      </c>
      <c r="E17" s="864"/>
      <c r="F17" s="864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846">
        <f t="shared" si="0"/>
        <v>202586020</v>
      </c>
      <c r="D18" s="864">
        <f>234271694+107725-21793399-60000000+50000000</f>
        <v>202586020</v>
      </c>
      <c r="E18" s="864"/>
      <c r="F18" s="864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358216768</v>
      </c>
      <c r="D20" s="267">
        <f>+D21+D22+D23+D24+D25</f>
        <v>258417749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358216768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846">
        <f t="shared" si="0"/>
        <v>358216768</v>
      </c>
      <c r="D25" s="865">
        <f>255808159+24966440+4143150+23500000-50000000</f>
        <v>258417749</v>
      </c>
      <c r="E25" s="864"/>
      <c r="F25" s="864">
        <f>9618799+90180220</f>
        <v>99799019</v>
      </c>
      <c r="H25" s="336">
        <f>'1.2.sz.mell. '!C25+'1.3.sz.mell.'!C25+'1.4.sz.mell. '!C25+'1.5.sz.mell.'!C25</f>
        <v>358216768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6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1512582898</v>
      </c>
      <c r="D27" s="267">
        <f>+D28+D29+D30+D31+D32</f>
        <v>1450653617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1512582898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408">
        <f t="shared" si="0"/>
        <v>1305000000</v>
      </c>
      <c r="D28" s="867">
        <v>1305000000</v>
      </c>
      <c r="E28" s="507"/>
      <c r="F28" s="507"/>
      <c r="H28" s="336">
        <f>'1.2.sz.mell. '!C28+'1.3.sz.mell.'!C28+'1.4.sz.mell. '!C28+'1.5.sz.mell.'!C28</f>
        <v>1305000000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66">
        <f t="shared" si="0"/>
        <v>0</v>
      </c>
      <c r="D29" s="865"/>
      <c r="E29" s="864"/>
      <c r="F29" s="864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5"/>
      <c r="E30" s="864"/>
      <c r="F30" s="864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5"/>
      <c r="E31" s="864"/>
      <c r="F31" s="864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846">
        <f t="shared" si="0"/>
        <v>207582898</v>
      </c>
      <c r="D32" s="865">
        <f>127479073+18062206+112338</f>
        <v>145653617</v>
      </c>
      <c r="E32" s="864"/>
      <c r="F32" s="864">
        <f>51850900+10078381</f>
        <v>61929281</v>
      </c>
      <c r="H32" s="336">
        <f>'1.2.sz.mell. '!C32+'1.3.sz.mell.'!C32+'1.4.sz.mell. '!C32+'1.5.sz.mell.'!C32</f>
        <v>207582898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6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5"/>
      <c r="E38" s="864"/>
      <c r="F38" s="864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6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367517639</v>
      </c>
      <c r="D41" s="267">
        <f>SUM(D42:D52)</f>
        <v>69179396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367517639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7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290">
        <f t="shared" si="0"/>
        <v>67234315</v>
      </c>
      <c r="D43" s="865">
        <f>16336984-3004139</f>
        <v>13332845</v>
      </c>
      <c r="E43" s="864">
        <v>5076402</v>
      </c>
      <c r="F43" s="222">
        <f>25515233+11296835+600000+11413000</f>
        <v>48825068</v>
      </c>
      <c r="H43" s="336">
        <f>'1.2.sz.mell. '!C43+'1.3.sz.mell.'!C43+'1.4.sz.mell. '!C43+'1.5.sz.mell.'!C43</f>
        <v>67234315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5">
        <f>9686744+10000+783507</f>
        <v>10480251</v>
      </c>
      <c r="E44" s="864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846">
        <f t="shared" si="3"/>
        <v>6822173</v>
      </c>
      <c r="D45" s="865">
        <f>3743473+3078700</f>
        <v>6822173</v>
      </c>
      <c r="E45" s="864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5"/>
      <c r="E46" s="864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5">
        <f>8308287+322263</f>
        <v>8630550</v>
      </c>
      <c r="E47" s="864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5">
        <f>25525800+1809000</f>
        <v>27334800</v>
      </c>
      <c r="E48" s="864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5"/>
      <c r="E49" s="864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5"/>
      <c r="E50" s="864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6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409">
        <f t="shared" si="3"/>
        <v>1681777</v>
      </c>
      <c r="D52" s="866">
        <f>1514062+4715+60000</f>
        <v>1578777</v>
      </c>
      <c r="E52" s="173">
        <v>100000</v>
      </c>
      <c r="F52" s="222">
        <v>3000</v>
      </c>
      <c r="H52" s="336">
        <f>'1.2.sz.mell. '!C52+'1.3.sz.mell.'!C52+'1.4.sz.mell. '!C52+'1.5.sz.mell.'!C52</f>
        <v>1681777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35">
        <f t="shared" si="3"/>
        <v>0</v>
      </c>
      <c r="D54" s="867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5">
        <v>63000000</v>
      </c>
      <c r="E55" s="864"/>
      <c r="F55" s="864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5"/>
      <c r="E56" s="864"/>
      <c r="F56" s="864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5"/>
      <c r="E57" s="864"/>
      <c r="F57" s="864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36">
        <f t="shared" si="3"/>
        <v>0</v>
      </c>
      <c r="D58" s="866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11474000</v>
      </c>
      <c r="D59" s="267">
        <f>SUM(D60:D62)</f>
        <v>11474000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11474000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5">
        <v>200000</v>
      </c>
      <c r="E61" s="864"/>
      <c r="F61" s="864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846">
        <f t="shared" si="3"/>
        <v>10274000</v>
      </c>
      <c r="D62" s="865">
        <f>1000000-726000+10000000</f>
        <v>10274000</v>
      </c>
      <c r="E62" s="864"/>
      <c r="F62" s="864"/>
      <c r="H62" s="336">
        <f>'1.2.sz.mell. '!C62+'1.3.sz.mell.'!C62+'1.4.sz.mell. '!C62+'1.5.sz.mell.'!C62</f>
        <v>10274000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35">
        <f t="shared" si="3"/>
        <v>0</v>
      </c>
      <c r="D65" s="865"/>
      <c r="E65" s="864"/>
      <c r="F65" s="864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66">
        <f t="shared" si="3"/>
        <v>0</v>
      </c>
      <c r="D66" s="865"/>
      <c r="E66" s="864"/>
      <c r="F66" s="864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5">
        <f>200000+50000</f>
        <v>250000</v>
      </c>
      <c r="E67" s="864"/>
      <c r="F67" s="864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5"/>
      <c r="E68" s="864"/>
      <c r="F68" s="864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4364137273</v>
      </c>
      <c r="D69" s="270">
        <f>+D11+D20+D27+D34+D41+D53+D59+D64</f>
        <v>3904070730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4364137273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868562529</v>
      </c>
      <c r="D70" s="267">
        <f>SUM(D71:D73)</f>
        <v>868562529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868562529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18562529</v>
      </c>
      <c r="D71" s="865">
        <f>11503705+7058824</f>
        <v>18562529</v>
      </c>
      <c r="E71" s="864"/>
      <c r="F71" s="864"/>
      <c r="H71" s="336">
        <f>'1.2.sz.mell. '!C71+'1.3.sz.mell.'!C71+'1.4.sz.mell. '!C71+'1.5.sz.mell.'!C71</f>
        <v>18562529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290">
        <f t="shared" si="3"/>
        <v>850000000</v>
      </c>
      <c r="D72" s="865">
        <v>850000000</v>
      </c>
      <c r="E72" s="864"/>
      <c r="F72" s="864"/>
      <c r="H72" s="336">
        <f>'1.2.sz.mell. '!C72+'1.3.sz.mell.'!C72+'1.4.sz.mell. '!C72+'1.5.sz.mell.'!C72</f>
        <v>850000000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36">
        <f t="shared" si="3"/>
        <v>0</v>
      </c>
      <c r="D73" s="865"/>
      <c r="E73" s="864"/>
      <c r="F73" s="864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35">
        <f t="shared" si="3"/>
        <v>0</v>
      </c>
      <c r="D75" s="865"/>
      <c r="E75" s="864"/>
      <c r="F75" s="864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66">
        <f t="shared" si="3"/>
        <v>0</v>
      </c>
      <c r="D76" s="865"/>
      <c r="E76" s="864"/>
      <c r="F76" s="864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66">
        <f t="shared" si="3"/>
        <v>0</v>
      </c>
      <c r="D77" s="865"/>
      <c r="E77" s="864"/>
      <c r="F77" s="864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36">
        <f t="shared" si="3"/>
        <v>0</v>
      </c>
      <c r="D78" s="865"/>
      <c r="E78" s="864"/>
      <c r="F78" s="864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5">
        <v>847491815</v>
      </c>
      <c r="E80" s="864">
        <v>216699</v>
      </c>
      <c r="F80" s="864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36">
        <f t="shared" si="3"/>
        <v>0</v>
      </c>
      <c r="D81" s="865"/>
      <c r="E81" s="864"/>
      <c r="F81" s="864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5">
        <v>48966750</v>
      </c>
      <c r="E83" s="864"/>
      <c r="F83" s="864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66">
        <f t="shared" si="3"/>
        <v>0</v>
      </c>
      <c r="D84" s="865"/>
      <c r="E84" s="864"/>
      <c r="F84" s="864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36">
        <f t="shared" si="3"/>
        <v>0</v>
      </c>
      <c r="D85" s="865"/>
      <c r="E85" s="864"/>
      <c r="F85" s="864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35">
        <f t="shared" si="3"/>
        <v>0</v>
      </c>
      <c r="D87" s="865"/>
      <c r="E87" s="864"/>
      <c r="F87" s="864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66">
        <f t="shared" si="3"/>
        <v>0</v>
      </c>
      <c r="D88" s="865"/>
      <c r="E88" s="864"/>
      <c r="F88" s="864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66">
        <f t="shared" si="3"/>
        <v>0</v>
      </c>
      <c r="D89" s="865"/>
      <c r="E89" s="864"/>
      <c r="F89" s="864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36">
        <f t="shared" si="3"/>
        <v>0</v>
      </c>
      <c r="D90" s="865"/>
      <c r="E90" s="864"/>
      <c r="F90" s="864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1774011918</v>
      </c>
      <c r="D93" s="270">
        <f>+D70+D74+D79+D82+D86+D92+D91</f>
        <v>1765021094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1774011918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6138149191</v>
      </c>
      <c r="D94" s="270">
        <f>+D69+D93</f>
        <v>5669091824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6138149191</v>
      </c>
      <c r="I94" s="336">
        <f t="shared" si="4"/>
        <v>0</v>
      </c>
    </row>
    <row r="95" spans="1:9" ht="16.5" customHeight="1" thickBot="1" x14ac:dyDescent="0.3">
      <c r="A95" s="1436" t="s">
        <v>44</v>
      </c>
      <c r="B95" s="1436"/>
      <c r="C95" s="1436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37" t="s">
        <v>116</v>
      </c>
      <c r="B96" s="1437"/>
      <c r="C96" s="967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34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37">
        <f t="shared" ref="C99:C160" si="5">SUM(D99:F99)</f>
        <v>3019021440</v>
      </c>
      <c r="D99" s="275">
        <f>+D100+D101+D102+D103+D104+D117</f>
        <v>1024279781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3019021440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1187">
        <f t="shared" si="5"/>
        <v>1258181723</v>
      </c>
      <c r="D100" s="868">
        <f>47896992-18600298+18784340+1037700+1247173-6502834+3889130</f>
        <v>47752203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1258181723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1187">
        <f t="shared" si="5"/>
        <v>213032145</v>
      </c>
      <c r="D101" s="865">
        <f>8163648-2868694+281775+160844+234715-1216730+922188</f>
        <v>5677746</v>
      </c>
      <c r="E101" s="116">
        <v>29077925</v>
      </c>
      <c r="F101" s="864">
        <f>13031917+11651828+9106816+38909967+105575946</f>
        <v>178276474</v>
      </c>
      <c r="H101" s="336">
        <f>'1.2.sz.mell. '!C101+'1.3.sz.mell.'!C101+'1.4.sz.mell. '!C102+'1.5.sz.mell.'!C102</f>
        <v>213032145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87">
        <f>SUM(D102:F102)</f>
        <v>1142101731</v>
      </c>
      <c r="D102" s="866">
        <f>408709299+107725-6192766+8896325+96499-4800000+156702535+1660697</f>
        <v>565180314</v>
      </c>
      <c r="E102" s="173">
        <v>41258155</v>
      </c>
      <c r="F102" s="864">
        <f>16220856+149872937+61195180+87035872+221374740-36323</f>
        <v>535663262</v>
      </c>
      <c r="H102" s="336">
        <f>'1.2.sz.mell. '!C102+'1.3.sz.mell.'!C102+'1.4.sz.mell. '!C103+'1.5.sz.mell.'!C103</f>
        <v>1142101731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373">
        <f t="shared" ref="C103:C119" si="7">SUM(D103:F103)</f>
        <v>56500000</v>
      </c>
      <c r="D103" s="866">
        <v>56500000</v>
      </c>
      <c r="E103" s="173"/>
      <c r="F103" s="173"/>
      <c r="H103" s="336">
        <f>'1.2.sz.mell. '!C103+'1.3.sz.mell.'!C103+'1.4.sz.mell. '!C104+'1.5.sz.mell.'!C104</f>
        <v>56500000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1187">
        <f t="shared" si="7"/>
        <v>252838130</v>
      </c>
      <c r="D104" s="866">
        <f>SUM(D105:D116)</f>
        <v>252801807</v>
      </c>
      <c r="E104" s="259">
        <f>SUM(E105:E116)</f>
        <v>0</v>
      </c>
      <c r="F104" s="866">
        <f>SUM(F105:F116)</f>
        <v>36323</v>
      </c>
      <c r="H104" s="336">
        <f>'1.2.sz.mell. '!C104+'1.3.sz.mell.'!C104+'1.4.sz.mell. '!C105+'1.5.sz.mell.'!C105</f>
        <v>252838130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6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6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24566831</v>
      </c>
      <c r="D107" s="866">
        <f>24566831</f>
        <v>24566831</v>
      </c>
      <c r="E107" s="173"/>
      <c r="F107" s="173"/>
      <c r="H107" s="336">
        <f>'1.2.sz.mell. '!C107+'1.3.sz.mell.'!C107+'1.4.sz.mell. '!C108+'1.5.sz.mell.'!C108</f>
        <v>24566831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1187">
        <f t="shared" si="7"/>
        <v>210355979</v>
      </c>
      <c r="D116" s="256">
        <f>173591867+27025595-4053420+10664415+690537+2436985</f>
        <v>210355979</v>
      </c>
      <c r="E116" s="116"/>
      <c r="F116" s="173"/>
      <c r="H116" s="336">
        <f>'1.2.sz.mell. '!C116+'1.3.sz.mell.'!C116+'1.4.sz.mell. '!C117+'1.5.sz.mell.'!C117</f>
        <v>210355979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1187">
        <f t="shared" si="7"/>
        <v>96367711</v>
      </c>
      <c r="D117" s="256">
        <f>SUM(D118:D119)</f>
        <v>96367711</v>
      </c>
      <c r="E117" s="256">
        <f>SUM(E118:E119)</f>
        <v>0</v>
      </c>
      <c r="F117" s="865">
        <f>SUM(F118:F119)</f>
        <v>0</v>
      </c>
      <c r="H117" s="336">
        <f>'1.2.sz.mell. '!C117+'1.3.sz.mell.'!C117+'1.4.sz.mell. '!C118+'1.5.sz.mell.'!C118</f>
        <v>96367711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1187">
        <f t="shared" si="7"/>
        <v>14805483</v>
      </c>
      <c r="D118" s="866">
        <f>10000000-8622933+2854876-254000-2206257+540000+13433386-939589</f>
        <v>14805483</v>
      </c>
      <c r="E118" s="173"/>
      <c r="F118" s="864"/>
      <c r="H118" s="336">
        <f>'1.2.sz.mell. '!C118+'1.3.sz.mell.'!C118+'1.4.sz.mell. '!C119+'1.5.sz.mell.'!C119</f>
        <v>14805483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1187">
        <f t="shared" si="7"/>
        <v>81562228</v>
      </c>
      <c r="D119" s="286">
        <f>99315612+4715+7058824-10000000-346499-540000-13770424-160000</f>
        <v>81562228</v>
      </c>
      <c r="E119" s="265"/>
      <c r="F119" s="265"/>
      <c r="H119" s="336">
        <f>'1.2.sz.mell. '!C119+'1.3.sz.mell.'!C119+'1.4.sz.mell. '!C120+'1.5.sz.mell.'!C120</f>
        <v>81562228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2195167254</v>
      </c>
      <c r="D120" s="267">
        <f>+D121+D123+D125</f>
        <v>2116804995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2195167254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1187">
        <f t="shared" si="5"/>
        <v>547942176</v>
      </c>
      <c r="D121" s="867">
        <f>535995745+200000+18112206+3010000+254000+2425-103156039+16979802</f>
        <v>471398139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547942176</v>
      </c>
      <c r="I121" s="337">
        <f t="shared" si="6"/>
        <v>0</v>
      </c>
      <c r="K121" s="936"/>
    </row>
    <row r="122" spans="1:11" ht="12" customHeight="1" thickBot="1" x14ac:dyDescent="0.3">
      <c r="A122" s="12" t="s">
        <v>93</v>
      </c>
      <c r="B122" s="9" t="s">
        <v>299</v>
      </c>
      <c r="C122" s="1187">
        <f t="shared" si="5"/>
        <v>260190536</v>
      </c>
      <c r="D122" s="867">
        <f>401925076+2425-142138515+401550</f>
        <v>260190536</v>
      </c>
      <c r="E122" s="222"/>
      <c r="F122" s="222"/>
      <c r="H122" s="336">
        <f>'1.2.sz.mell. '!C122+'1.3.sz.mell.'!C122+'1.4.sz.mell. '!C123+'1.5.sz.mell.'!C123</f>
        <v>260190536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1187">
        <f t="shared" si="5"/>
        <v>1641313272</v>
      </c>
      <c r="D123" s="865">
        <f>357345208-317500+537576+1293527941-11598175</f>
        <v>1639495050</v>
      </c>
      <c r="E123" s="116"/>
      <c r="F123" s="864">
        <f>1500722+317500</f>
        <v>1818222</v>
      </c>
      <c r="H123" s="336">
        <f>'1.2.sz.mell. '!C123+'1.3.sz.mell.'!C123+'1.4.sz.mell. '!C124+'1.5.sz.mell.'!C124</f>
        <v>1641313272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1187">
        <f t="shared" si="5"/>
        <v>390701940</v>
      </c>
      <c r="D124" s="865">
        <f>80032238+2424+210655116-2424+101702816-1688230</f>
        <v>390701940</v>
      </c>
      <c r="E124" s="508"/>
      <c r="F124" s="865"/>
      <c r="H124" s="336">
        <f>'1.2.sz.mell. '!C124+'1.3.sz.mell.'!C124+'1.4.sz.mell. '!C125+'1.5.sz.mell.'!C125</f>
        <v>390701940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5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5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373">
        <f t="shared" si="5"/>
        <v>0</v>
      </c>
      <c r="D127" s="101"/>
      <c r="E127" s="101"/>
      <c r="F127" s="865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5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5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5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5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5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6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5214188694</v>
      </c>
      <c r="D134" s="267">
        <f>+D99+D120</f>
        <v>3141084776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5214188694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874993747</v>
      </c>
      <c r="D135" s="267">
        <f>+D136+D137+D138</f>
        <v>874993747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874993747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5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373">
        <f>SUM(D137:F137)</f>
        <v>850000000</v>
      </c>
      <c r="D137" s="101">
        <v>850000000</v>
      </c>
      <c r="E137" s="101"/>
      <c r="F137" s="101"/>
      <c r="H137" s="336">
        <f>'1.2.sz.mell. '!C137+'1.3.sz.mell.'!C137+'1.4.sz.mell. '!C138+'1.5.sz.mell.'!C138</f>
        <v>850000000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40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41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41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923960497</v>
      </c>
      <c r="D159" s="278">
        <f>+D135+D139+D146+D151+D157+D158</f>
        <v>923960497</v>
      </c>
      <c r="E159" s="194">
        <f>+E135+E139+E146+E151+E157+E158</f>
        <v>0</v>
      </c>
      <c r="F159" s="1142">
        <f>+F135+F139+F146+F151+F157+F158</f>
        <v>0</v>
      </c>
      <c r="G159" s="195"/>
      <c r="H159" s="336">
        <f>'1.2.sz.mell. '!C159+'1.3.sz.mell.'!C159+'1.4.sz.mell. '!C160+'1.5.sz.mell.'!C160</f>
        <v>923960497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6138149191</v>
      </c>
      <c r="D160" s="278">
        <f>+D134+D159</f>
        <v>4065045273</v>
      </c>
      <c r="E160" s="194">
        <f>+E134+E159</f>
        <v>239198789</v>
      </c>
      <c r="F160" s="1142">
        <f>+F134+F159</f>
        <v>1833905129</v>
      </c>
      <c r="H160" s="336">
        <f>'1.2.sz.mell. '!C160+'1.3.sz.mell.'!C160+'1.4.sz.mell. '!C161+'1.5.sz.mell.'!C161</f>
        <v>6138149191</v>
      </c>
      <c r="I160" s="336">
        <f t="shared" si="6"/>
        <v>0</v>
      </c>
    </row>
    <row r="161" spans="1:6" x14ac:dyDescent="0.25">
      <c r="A161" s="1438" t="s">
        <v>308</v>
      </c>
      <c r="B161" s="1438"/>
      <c r="C161" s="1438"/>
    </row>
    <row r="162" spans="1:6" ht="15" customHeight="1" thickBot="1" x14ac:dyDescent="0.3">
      <c r="A162" s="1435" t="s">
        <v>117</v>
      </c>
      <c r="B162" s="1435"/>
      <c r="C162" s="1033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-850051421</v>
      </c>
      <c r="D163" s="568"/>
    </row>
    <row r="164" spans="1:6" ht="15" customHeight="1" thickBot="1" x14ac:dyDescent="0.3">
      <c r="A164" s="17" t="s">
        <v>17</v>
      </c>
      <c r="B164" s="22" t="s">
        <v>762</v>
      </c>
      <c r="C164" s="117">
        <f>+C93-C159</f>
        <v>850051421</v>
      </c>
      <c r="F164" s="936"/>
    </row>
  </sheetData>
  <mergeCells count="12">
    <mergeCell ref="D4:F4"/>
    <mergeCell ref="D5:F5"/>
    <mergeCell ref="D3:F3"/>
    <mergeCell ref="A3:C3"/>
    <mergeCell ref="A4:C4"/>
    <mergeCell ref="A5:C5"/>
    <mergeCell ref="A1:C1"/>
    <mergeCell ref="A162:B162"/>
    <mergeCell ref="A7:C7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L27" sqref="L27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16384" width="9.33203125" style="827"/>
  </cols>
  <sheetData>
    <row r="1" spans="1:6" x14ac:dyDescent="0.2">
      <c r="A1" s="1474" t="str">
        <f>CONCATENATE("13. melléklet ",ALAPADATOK!A7," ",ALAPADATOK!B7," ",ALAPADATOK!C7," ",ALAPADATOK!D7," ",ALAPADATOK!E7," ",ALAPADATOK!F7," ",ALAPADATOK!G7," ",ALAPADATOK!H7)</f>
        <v>13. melléklet a 15 / 2021. ( IX.30. ) önkormányzati rendelethez</v>
      </c>
      <c r="B1" s="1474"/>
      <c r="C1" s="1474"/>
      <c r="D1" s="1474"/>
      <c r="E1" s="1474"/>
    </row>
    <row r="2" spans="1:6" x14ac:dyDescent="0.2">
      <c r="A2" s="826"/>
      <c r="B2" s="826"/>
      <c r="C2" s="826"/>
      <c r="D2" s="826"/>
      <c r="E2" s="826"/>
    </row>
    <row r="3" spans="1:6" ht="68.25" customHeight="1" x14ac:dyDescent="0.25">
      <c r="A3" s="1471" t="s">
        <v>1076</v>
      </c>
      <c r="B3" s="1471"/>
      <c r="C3" s="1471"/>
      <c r="D3" s="1471"/>
      <c r="E3" s="1471"/>
    </row>
    <row r="4" spans="1:6" x14ac:dyDescent="0.2">
      <c r="A4" s="826"/>
      <c r="B4" s="826"/>
      <c r="C4" s="826"/>
      <c r="D4" s="826"/>
      <c r="E4" s="826"/>
    </row>
    <row r="5" spans="1:6" ht="74.25" customHeight="1" x14ac:dyDescent="0.25">
      <c r="A5" s="1471" t="s">
        <v>790</v>
      </c>
      <c r="B5" s="1471"/>
      <c r="C5" s="1471"/>
      <c r="D5" s="1471"/>
      <c r="E5" s="1471"/>
      <c r="F5" s="828"/>
    </row>
    <row r="6" spans="1:6" ht="14.25" thickBot="1" x14ac:dyDescent="0.3">
      <c r="A6" s="738"/>
      <c r="B6" s="738"/>
      <c r="C6" s="738"/>
      <c r="D6" s="1472" t="s">
        <v>502</v>
      </c>
      <c r="E6" s="1472"/>
      <c r="F6" s="828"/>
    </row>
    <row r="7" spans="1:6" ht="15" customHeight="1" thickBot="1" x14ac:dyDescent="0.25">
      <c r="A7" s="783" t="s">
        <v>532</v>
      </c>
      <c r="B7" s="784" t="s">
        <v>805</v>
      </c>
      <c r="C7" s="784" t="s">
        <v>797</v>
      </c>
      <c r="D7" s="784" t="s">
        <v>806</v>
      </c>
      <c r="E7" s="785" t="s">
        <v>48</v>
      </c>
      <c r="F7" s="828"/>
    </row>
    <row r="8" spans="1:6" x14ac:dyDescent="0.2">
      <c r="A8" s="739" t="s">
        <v>533</v>
      </c>
      <c r="B8" s="754"/>
      <c r="C8" s="1189">
        <v>5000</v>
      </c>
      <c r="D8" s="754"/>
      <c r="E8" s="741">
        <f>SUM(B8:D8)</f>
        <v>5000</v>
      </c>
      <c r="F8" s="828"/>
    </row>
    <row r="9" spans="1:6" x14ac:dyDescent="0.2">
      <c r="A9" s="742" t="s">
        <v>534</v>
      </c>
      <c r="B9" s="757"/>
      <c r="C9" s="757"/>
      <c r="D9" s="757"/>
      <c r="E9" s="744">
        <f t="shared" ref="E9:E14" si="0">SUM(B9:D9)</f>
        <v>0</v>
      </c>
      <c r="F9" s="828"/>
    </row>
    <row r="10" spans="1:6" x14ac:dyDescent="0.2">
      <c r="A10" s="745" t="s">
        <v>535</v>
      </c>
      <c r="B10" s="760">
        <f>2763895+202109846</f>
        <v>204873741</v>
      </c>
      <c r="C10" s="760"/>
      <c r="D10" s="760"/>
      <c r="E10" s="796">
        <f t="shared" si="0"/>
        <v>204873741</v>
      </c>
      <c r="F10" s="828"/>
    </row>
    <row r="11" spans="1:6" x14ac:dyDescent="0.2">
      <c r="A11" s="745" t="s">
        <v>536</v>
      </c>
      <c r="B11" s="760">
        <f>341605+24979870</f>
        <v>25321475</v>
      </c>
      <c r="C11" s="760"/>
      <c r="D11" s="760"/>
      <c r="E11" s="796">
        <f t="shared" si="0"/>
        <v>25321475</v>
      </c>
      <c r="F11" s="828"/>
    </row>
    <row r="12" spans="1:6" x14ac:dyDescent="0.2">
      <c r="A12" s="745" t="s">
        <v>110</v>
      </c>
      <c r="B12" s="760"/>
      <c r="C12" s="760"/>
      <c r="D12" s="760"/>
      <c r="E12" s="796">
        <f t="shared" si="0"/>
        <v>0</v>
      </c>
      <c r="F12" s="828"/>
    </row>
    <row r="13" spans="1:6" x14ac:dyDescent="0.2">
      <c r="A13" s="745" t="s">
        <v>537</v>
      </c>
      <c r="B13" s="760"/>
      <c r="C13" s="760"/>
      <c r="D13" s="760"/>
      <c r="E13" s="796">
        <f t="shared" si="0"/>
        <v>0</v>
      </c>
      <c r="F13" s="828"/>
    </row>
    <row r="14" spans="1:6" ht="13.5" thickBot="1" x14ac:dyDescent="0.25">
      <c r="A14" s="746"/>
      <c r="B14" s="763"/>
      <c r="C14" s="763"/>
      <c r="D14" s="763"/>
      <c r="E14" s="796">
        <f t="shared" si="0"/>
        <v>0</v>
      </c>
      <c r="F14" s="828"/>
    </row>
    <row r="15" spans="1:6" ht="13.5" thickBot="1" x14ac:dyDescent="0.25">
      <c r="A15" s="786" t="s">
        <v>538</v>
      </c>
      <c r="B15" s="787">
        <f>SUM(B8:B14)</f>
        <v>230195216</v>
      </c>
      <c r="C15" s="787">
        <f>SUM(C8:C14)</f>
        <v>5000</v>
      </c>
      <c r="D15" s="787">
        <f>SUM(D8:D14)</f>
        <v>0</v>
      </c>
      <c r="E15" s="788">
        <f>SUM(E8:E14)</f>
        <v>230200216</v>
      </c>
      <c r="F15" s="828"/>
    </row>
    <row r="16" spans="1:6" ht="13.5" thickBot="1" x14ac:dyDescent="0.25">
      <c r="A16" s="747"/>
      <c r="B16" s="747"/>
      <c r="C16" s="747"/>
      <c r="D16" s="747"/>
      <c r="E16" s="747"/>
      <c r="F16" s="828"/>
    </row>
    <row r="17" spans="1:6" ht="15" customHeight="1" thickBot="1" x14ac:dyDescent="0.25">
      <c r="A17" s="783" t="s">
        <v>539</v>
      </c>
      <c r="B17" s="784" t="str">
        <f>B7</f>
        <v>2021. előtt</v>
      </c>
      <c r="C17" s="784" t="str">
        <f t="shared" ref="C17:E17" si="1">C7</f>
        <v>2021.</v>
      </c>
      <c r="D17" s="784" t="str">
        <f t="shared" si="1"/>
        <v>2021. után</v>
      </c>
      <c r="E17" s="784" t="str">
        <f t="shared" si="1"/>
        <v>Összesen</v>
      </c>
      <c r="F17" s="828"/>
    </row>
    <row r="18" spans="1:6" x14ac:dyDescent="0.2">
      <c r="A18" s="739" t="s">
        <v>540</v>
      </c>
      <c r="B18" s="754"/>
      <c r="C18" s="754"/>
      <c r="D18" s="754"/>
      <c r="E18" s="741">
        <f>SUM(B18:D18)</f>
        <v>0</v>
      </c>
      <c r="F18" s="828"/>
    </row>
    <row r="19" spans="1:6" x14ac:dyDescent="0.2">
      <c r="A19" s="748" t="s">
        <v>541</v>
      </c>
      <c r="B19" s="760">
        <f>444500+6286500</f>
        <v>6731000</v>
      </c>
      <c r="C19" s="449">
        <f>7990000+2157300+166004320+44650796+5000</f>
        <v>220807416</v>
      </c>
      <c r="D19" s="760"/>
      <c r="E19" s="796">
        <f t="shared" ref="E19:E24" si="2">SUM(B19:D19)</f>
        <v>227538416</v>
      </c>
      <c r="F19" s="828"/>
    </row>
    <row r="20" spans="1:6" x14ac:dyDescent="0.2">
      <c r="A20" s="745" t="s">
        <v>542</v>
      </c>
      <c r="B20" s="760"/>
      <c r="C20" s="760">
        <f>2286000+375000+800</f>
        <v>2661800</v>
      </c>
      <c r="D20" s="760"/>
      <c r="E20" s="796">
        <f t="shared" si="2"/>
        <v>2661800</v>
      </c>
      <c r="F20" s="828"/>
    </row>
    <row r="21" spans="1:6" x14ac:dyDescent="0.2">
      <c r="A21" s="745" t="s">
        <v>543</v>
      </c>
      <c r="B21" s="760"/>
      <c r="C21" s="760"/>
      <c r="D21" s="760"/>
      <c r="E21" s="796">
        <f t="shared" si="2"/>
        <v>0</v>
      </c>
      <c r="F21" s="828"/>
    </row>
    <row r="22" spans="1:6" x14ac:dyDescent="0.2">
      <c r="A22" s="749" t="s">
        <v>544</v>
      </c>
      <c r="B22" s="760"/>
      <c r="C22" s="760"/>
      <c r="D22" s="760"/>
      <c r="E22" s="796">
        <f t="shared" si="2"/>
        <v>0</v>
      </c>
      <c r="F22" s="828"/>
    </row>
    <row r="23" spans="1:6" x14ac:dyDescent="0.2">
      <c r="A23" s="749" t="s">
        <v>545</v>
      </c>
      <c r="B23" s="760"/>
      <c r="C23" s="760"/>
      <c r="D23" s="760"/>
      <c r="E23" s="796">
        <f t="shared" si="2"/>
        <v>0</v>
      </c>
      <c r="F23" s="828"/>
    </row>
    <row r="24" spans="1:6" ht="13.5" thickBot="1" x14ac:dyDescent="0.25">
      <c r="A24" s="746"/>
      <c r="B24" s="763"/>
      <c r="C24" s="763"/>
      <c r="D24" s="763"/>
      <c r="E24" s="796">
        <f t="shared" si="2"/>
        <v>0</v>
      </c>
      <c r="F24" s="828"/>
    </row>
    <row r="25" spans="1:6" ht="13.5" thickBot="1" x14ac:dyDescent="0.25">
      <c r="A25" s="786" t="s">
        <v>49</v>
      </c>
      <c r="B25" s="787">
        <f>SUM(B18:B24)</f>
        <v>6731000</v>
      </c>
      <c r="C25" s="787">
        <f>SUM(C18:C24)</f>
        <v>223469216</v>
      </c>
      <c r="D25" s="787">
        <f>SUM(D18:D24)</f>
        <v>0</v>
      </c>
      <c r="E25" s="788">
        <f>SUM(E18:E24)</f>
        <v>230200216</v>
      </c>
      <c r="F25" s="828"/>
    </row>
    <row r="26" spans="1:6" x14ac:dyDescent="0.2">
      <c r="A26" s="826"/>
      <c r="B26" s="826"/>
      <c r="C26" s="826"/>
      <c r="D26" s="826"/>
      <c r="E26" s="826"/>
    </row>
    <row r="27" spans="1:6" ht="48.75" customHeight="1" x14ac:dyDescent="0.25">
      <c r="A27" s="1477" t="s">
        <v>950</v>
      </c>
      <c r="B27" s="1477"/>
      <c r="C27" s="1477"/>
      <c r="D27" s="1477"/>
      <c r="E27" s="1477"/>
    </row>
    <row r="28" spans="1:6" ht="14.25" thickBot="1" x14ac:dyDescent="0.3">
      <c r="A28" s="738"/>
      <c r="B28" s="738"/>
      <c r="C28" s="738"/>
      <c r="D28" s="1478" t="s">
        <v>502</v>
      </c>
      <c r="E28" s="1478"/>
    </row>
    <row r="29" spans="1:6" ht="13.5" thickBot="1" x14ac:dyDescent="0.25">
      <c r="A29" s="783" t="s">
        <v>532</v>
      </c>
      <c r="B29" s="784" t="s">
        <v>805</v>
      </c>
      <c r="C29" s="784" t="s">
        <v>797</v>
      </c>
      <c r="D29" s="784" t="s">
        <v>806</v>
      </c>
      <c r="E29" s="785" t="s">
        <v>48</v>
      </c>
    </row>
    <row r="30" spans="1:6" x14ac:dyDescent="0.2">
      <c r="A30" s="739" t="s">
        <v>533</v>
      </c>
      <c r="B30" s="832"/>
      <c r="C30" s="843">
        <v>388900</v>
      </c>
      <c r="D30" s="832"/>
      <c r="E30" s="741">
        <f>SUM(B30:D30)</f>
        <v>388900</v>
      </c>
    </row>
    <row r="31" spans="1:6" x14ac:dyDescent="0.2">
      <c r="A31" s="742" t="s">
        <v>534</v>
      </c>
      <c r="B31" s="834"/>
      <c r="C31" s="834"/>
      <c r="D31" s="834"/>
      <c r="E31" s="796">
        <f t="shared" ref="E31:E36" si="3">SUM(B31:D31)</f>
        <v>0</v>
      </c>
    </row>
    <row r="32" spans="1:6" x14ac:dyDescent="0.2">
      <c r="A32" s="745" t="s">
        <v>535</v>
      </c>
      <c r="B32" s="836"/>
      <c r="C32" s="837">
        <v>3500100</v>
      </c>
      <c r="D32" s="836"/>
      <c r="E32" s="796">
        <f t="shared" si="3"/>
        <v>3500100</v>
      </c>
    </row>
    <row r="33" spans="1:5" x14ac:dyDescent="0.2">
      <c r="A33" s="745" t="s">
        <v>536</v>
      </c>
      <c r="B33" s="836"/>
      <c r="C33" s="836"/>
      <c r="D33" s="836"/>
      <c r="E33" s="796">
        <f t="shared" si="3"/>
        <v>0</v>
      </c>
    </row>
    <row r="34" spans="1:5" x14ac:dyDescent="0.2">
      <c r="A34" s="745" t="s">
        <v>110</v>
      </c>
      <c r="B34" s="836"/>
      <c r="C34" s="836"/>
      <c r="D34" s="836"/>
      <c r="E34" s="796">
        <f t="shared" si="3"/>
        <v>0</v>
      </c>
    </row>
    <row r="35" spans="1:5" x14ac:dyDescent="0.2">
      <c r="A35" s="745" t="s">
        <v>537</v>
      </c>
      <c r="B35" s="836"/>
      <c r="C35" s="836"/>
      <c r="D35" s="836"/>
      <c r="E35" s="796">
        <f t="shared" si="3"/>
        <v>0</v>
      </c>
    </row>
    <row r="36" spans="1:5" ht="13.5" thickBot="1" x14ac:dyDescent="0.25">
      <c r="A36" s="746"/>
      <c r="B36" s="840"/>
      <c r="C36" s="840"/>
      <c r="D36" s="840"/>
      <c r="E36" s="1168">
        <f t="shared" si="3"/>
        <v>0</v>
      </c>
    </row>
    <row r="37" spans="1:5" ht="13.5" thickBot="1" x14ac:dyDescent="0.25">
      <c r="A37" s="786" t="s">
        <v>538</v>
      </c>
      <c r="B37" s="787">
        <f>SUM(B30:B36)</f>
        <v>0</v>
      </c>
      <c r="C37" s="787">
        <f>SUM(C30:C36)</f>
        <v>3889000</v>
      </c>
      <c r="D37" s="787">
        <f>SUM(D30:D36)</f>
        <v>0</v>
      </c>
      <c r="E37" s="788">
        <f>SUM(E30:E36)</f>
        <v>3889000</v>
      </c>
    </row>
    <row r="38" spans="1:5" ht="13.5" thickBot="1" x14ac:dyDescent="0.25">
      <c r="A38" s="747"/>
      <c r="B38" s="747"/>
      <c r="C38" s="747"/>
      <c r="D38" s="747"/>
      <c r="E38" s="747"/>
    </row>
    <row r="39" spans="1:5" ht="13.5" thickBot="1" x14ac:dyDescent="0.25">
      <c r="A39" s="783" t="s">
        <v>539</v>
      </c>
      <c r="B39" s="784" t="s">
        <v>805</v>
      </c>
      <c r="C39" s="784" t="s">
        <v>797</v>
      </c>
      <c r="D39" s="784" t="s">
        <v>806</v>
      </c>
      <c r="E39" s="785" t="s">
        <v>48</v>
      </c>
    </row>
    <row r="40" spans="1:5" x14ac:dyDescent="0.2">
      <c r="A40" s="739" t="s">
        <v>540</v>
      </c>
      <c r="B40" s="832"/>
      <c r="C40" s="843">
        <v>196850</v>
      </c>
      <c r="D40" s="832"/>
      <c r="E40" s="741">
        <f>SUM(B40:D40)</f>
        <v>196850</v>
      </c>
    </row>
    <row r="41" spans="1:5" x14ac:dyDescent="0.2">
      <c r="A41" s="748" t="s">
        <v>541</v>
      </c>
      <c r="B41" s="836"/>
      <c r="C41" s="837">
        <v>1631608</v>
      </c>
      <c r="D41" s="836"/>
      <c r="E41" s="796">
        <f>SUM(B41:D41)</f>
        <v>1631608</v>
      </c>
    </row>
    <row r="42" spans="1:5" x14ac:dyDescent="0.2">
      <c r="A42" s="745" t="s">
        <v>542</v>
      </c>
      <c r="B42" s="836"/>
      <c r="C42" s="837">
        <v>2060542</v>
      </c>
      <c r="D42" s="836"/>
      <c r="E42" s="796">
        <f>SUM(B42:D42)</f>
        <v>2060542</v>
      </c>
    </row>
    <row r="43" spans="1:5" x14ac:dyDescent="0.2">
      <c r="A43" s="745" t="s">
        <v>543</v>
      </c>
      <c r="B43" s="836"/>
      <c r="C43" s="836"/>
      <c r="D43" s="836"/>
      <c r="E43" s="796">
        <f>SUM(B43:D43)</f>
        <v>0</v>
      </c>
    </row>
    <row r="44" spans="1:5" x14ac:dyDescent="0.2">
      <c r="A44" s="749" t="s">
        <v>544</v>
      </c>
      <c r="B44" s="836"/>
      <c r="C44" s="836"/>
      <c r="D44" s="836"/>
      <c r="E44" s="1168">
        <f>SUM(B44:D44)</f>
        <v>0</v>
      </c>
    </row>
    <row r="45" spans="1:5" x14ac:dyDescent="0.2">
      <c r="A45" s="749" t="s">
        <v>545</v>
      </c>
      <c r="B45" s="836"/>
      <c r="C45" s="836"/>
      <c r="D45" s="836"/>
      <c r="E45" s="838">
        <v>0</v>
      </c>
    </row>
    <row r="46" spans="1:5" ht="13.5" thickBot="1" x14ac:dyDescent="0.25">
      <c r="A46" s="746"/>
      <c r="B46" s="840"/>
      <c r="C46" s="840"/>
      <c r="D46" s="840"/>
      <c r="E46" s="838">
        <v>0</v>
      </c>
    </row>
    <row r="47" spans="1:5" ht="13.5" thickBot="1" x14ac:dyDescent="0.25">
      <c r="A47" s="786" t="s">
        <v>49</v>
      </c>
      <c r="B47" s="787">
        <f>SUM(B40:B46)</f>
        <v>0</v>
      </c>
      <c r="C47" s="787">
        <f>SUM(C40:C46)</f>
        <v>3889000</v>
      </c>
      <c r="D47" s="787">
        <f>SUM(D40:D46)</f>
        <v>0</v>
      </c>
      <c r="E47" s="788">
        <f>SUM(E40:E46)</f>
        <v>3889000</v>
      </c>
    </row>
    <row r="48" spans="1:5" x14ac:dyDescent="0.2">
      <c r="A48" s="826"/>
      <c r="B48" s="826"/>
      <c r="C48" s="826"/>
      <c r="D48" s="826"/>
      <c r="E48" s="826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H40" sqref="H40"/>
    </sheetView>
  </sheetViews>
  <sheetFormatPr defaultColWidth="9.33203125" defaultRowHeight="12.75" x14ac:dyDescent="0.2"/>
  <cols>
    <col min="1" max="1" width="38.6640625" style="827" customWidth="1"/>
    <col min="2" max="5" width="13.83203125" style="827" customWidth="1"/>
    <col min="6" max="16384" width="9.33203125" style="827"/>
  </cols>
  <sheetData>
    <row r="1" spans="1:6" x14ac:dyDescent="0.2">
      <c r="A1" s="1474" t="str">
        <f>CONCATENATE("8.6. melléklet ",ALAPADATOK!A7," ",ALAPADATOK!B7," ",ALAPADATOK!C7," ",ALAPADATOK!D7," ",ALAPADATOK!E7," ",ALAPADATOK!F7," ",ALAPADATOK!G7," ",ALAPADATOK!H7)</f>
        <v>8.6. melléklet a 15 / 2021. ( IX.30. ) önkormányzati rendelethez</v>
      </c>
      <c r="B1" s="1474"/>
      <c r="C1" s="1474"/>
      <c r="D1" s="1474"/>
      <c r="E1" s="1474"/>
    </row>
    <row r="2" spans="1:6" x14ac:dyDescent="0.2">
      <c r="A2" s="826"/>
      <c r="B2" s="826"/>
      <c r="C2" s="826"/>
      <c r="D2" s="826"/>
      <c r="E2" s="826"/>
    </row>
    <row r="3" spans="1:6" ht="54.75" customHeight="1" x14ac:dyDescent="0.25">
      <c r="A3" s="1477" t="s">
        <v>951</v>
      </c>
      <c r="B3" s="1477"/>
      <c r="C3" s="1477"/>
      <c r="D3" s="1477"/>
      <c r="E3" s="1477"/>
      <c r="F3" s="828"/>
    </row>
    <row r="4" spans="1:6" ht="14.25" thickBot="1" x14ac:dyDescent="0.3">
      <c r="A4" s="738"/>
      <c r="B4" s="738"/>
      <c r="C4" s="738"/>
      <c r="D4" s="1478" t="s">
        <v>502</v>
      </c>
      <c r="E4" s="1478"/>
      <c r="F4" s="828"/>
    </row>
    <row r="5" spans="1:6" ht="15" customHeight="1" thickBot="1" x14ac:dyDescent="0.25">
      <c r="A5" s="783" t="s">
        <v>532</v>
      </c>
      <c r="B5" s="784" t="s">
        <v>805</v>
      </c>
      <c r="C5" s="784" t="s">
        <v>797</v>
      </c>
      <c r="D5" s="784" t="s">
        <v>806</v>
      </c>
      <c r="E5" s="785" t="s">
        <v>48</v>
      </c>
      <c r="F5" s="828"/>
    </row>
    <row r="6" spans="1:6" x14ac:dyDescent="0.2">
      <c r="A6" s="739" t="s">
        <v>533</v>
      </c>
      <c r="B6" s="832"/>
      <c r="C6" s="843">
        <v>1080000</v>
      </c>
      <c r="D6" s="832"/>
      <c r="E6" s="741">
        <f>SUM(B6:D6)</f>
        <v>1080000</v>
      </c>
      <c r="F6" s="828"/>
    </row>
    <row r="7" spans="1:6" x14ac:dyDescent="0.2">
      <c r="A7" s="742" t="s">
        <v>534</v>
      </c>
      <c r="B7" s="834"/>
      <c r="C7" s="834"/>
      <c r="D7" s="834"/>
      <c r="E7" s="796">
        <f t="shared" ref="E7:E12" si="0">SUM(B7:D7)</f>
        <v>0</v>
      </c>
      <c r="F7" s="828"/>
    </row>
    <row r="8" spans="1:6" x14ac:dyDescent="0.2">
      <c r="A8" s="745" t="s">
        <v>535</v>
      </c>
      <c r="B8" s="836"/>
      <c r="C8" s="837">
        <v>9720000</v>
      </c>
      <c r="D8" s="836"/>
      <c r="E8" s="796">
        <f t="shared" si="0"/>
        <v>9720000</v>
      </c>
      <c r="F8" s="828"/>
    </row>
    <row r="9" spans="1:6" x14ac:dyDescent="0.2">
      <c r="A9" s="745" t="s">
        <v>536</v>
      </c>
      <c r="B9" s="836"/>
      <c r="C9" s="836"/>
      <c r="D9" s="836"/>
      <c r="E9" s="796">
        <f t="shared" si="0"/>
        <v>0</v>
      </c>
      <c r="F9" s="828"/>
    </row>
    <row r="10" spans="1:6" x14ac:dyDescent="0.2">
      <c r="A10" s="745" t="s">
        <v>110</v>
      </c>
      <c r="B10" s="836"/>
      <c r="C10" s="836"/>
      <c r="D10" s="836"/>
      <c r="E10" s="796">
        <f t="shared" si="0"/>
        <v>0</v>
      </c>
      <c r="F10" s="828"/>
    </row>
    <row r="11" spans="1:6" x14ac:dyDescent="0.2">
      <c r="A11" s="745" t="s">
        <v>537</v>
      </c>
      <c r="B11" s="836"/>
      <c r="C11" s="836"/>
      <c r="D11" s="836"/>
      <c r="E11" s="796">
        <f t="shared" si="0"/>
        <v>0</v>
      </c>
      <c r="F11" s="828"/>
    </row>
    <row r="12" spans="1:6" ht="13.5" thickBot="1" x14ac:dyDescent="0.25">
      <c r="A12" s="746"/>
      <c r="B12" s="840"/>
      <c r="C12" s="840"/>
      <c r="D12" s="840"/>
      <c r="E12" s="1168">
        <f t="shared" si="0"/>
        <v>0</v>
      </c>
      <c r="F12" s="828"/>
    </row>
    <row r="13" spans="1:6" ht="13.5" thickBot="1" x14ac:dyDescent="0.25">
      <c r="A13" s="786" t="s">
        <v>538</v>
      </c>
      <c r="B13" s="787">
        <f>SUM(B6:B12)</f>
        <v>0</v>
      </c>
      <c r="C13" s="787">
        <f>SUM(C6:C12)</f>
        <v>10800000</v>
      </c>
      <c r="D13" s="787">
        <f>SUM(D6:D12)</f>
        <v>0</v>
      </c>
      <c r="E13" s="788">
        <f>SUM(E6:E12)</f>
        <v>10800000</v>
      </c>
      <c r="F13" s="828"/>
    </row>
    <row r="14" spans="1:6" ht="13.5" thickBot="1" x14ac:dyDescent="0.25">
      <c r="A14" s="747"/>
      <c r="B14" s="747"/>
      <c r="C14" s="747"/>
      <c r="D14" s="747"/>
      <c r="E14" s="747"/>
      <c r="F14" s="828"/>
    </row>
    <row r="15" spans="1:6" ht="15" customHeight="1" thickBot="1" x14ac:dyDescent="0.25">
      <c r="A15" s="783" t="s">
        <v>539</v>
      </c>
      <c r="B15" s="784" t="s">
        <v>805</v>
      </c>
      <c r="C15" s="784" t="s">
        <v>797</v>
      </c>
      <c r="D15" s="784" t="s">
        <v>806</v>
      </c>
      <c r="E15" s="785" t="s">
        <v>48</v>
      </c>
      <c r="F15" s="828"/>
    </row>
    <row r="16" spans="1:6" x14ac:dyDescent="0.2">
      <c r="A16" s="739" t="s">
        <v>540</v>
      </c>
      <c r="B16" s="832"/>
      <c r="C16" s="843">
        <v>196850</v>
      </c>
      <c r="D16" s="832"/>
      <c r="E16" s="741">
        <f>SUM(B16:D16)</f>
        <v>196850</v>
      </c>
      <c r="F16" s="828"/>
    </row>
    <row r="17" spans="1:6" x14ac:dyDescent="0.2">
      <c r="A17" s="748" t="s">
        <v>541</v>
      </c>
      <c r="B17" s="836"/>
      <c r="C17" s="837">
        <v>4019215</v>
      </c>
      <c r="D17" s="836"/>
      <c r="E17" s="796">
        <f>SUM(B17:D17)</f>
        <v>4019215</v>
      </c>
      <c r="F17" s="828"/>
    </row>
    <row r="18" spans="1:6" x14ac:dyDescent="0.2">
      <c r="A18" s="745" t="s">
        <v>542</v>
      </c>
      <c r="B18" s="836"/>
      <c r="C18" s="837">
        <v>6583935</v>
      </c>
      <c r="D18" s="836"/>
      <c r="E18" s="796">
        <f>SUM(B18:D18)</f>
        <v>6583935</v>
      </c>
      <c r="F18" s="828"/>
    </row>
    <row r="19" spans="1:6" x14ac:dyDescent="0.2">
      <c r="A19" s="745" t="s">
        <v>543</v>
      </c>
      <c r="B19" s="836"/>
      <c r="C19" s="836"/>
      <c r="D19" s="836"/>
      <c r="E19" s="796">
        <f>SUM(B19:D19)</f>
        <v>0</v>
      </c>
      <c r="F19" s="828"/>
    </row>
    <row r="20" spans="1:6" x14ac:dyDescent="0.2">
      <c r="A20" s="749" t="s">
        <v>544</v>
      </c>
      <c r="B20" s="836"/>
      <c r="C20" s="836"/>
      <c r="D20" s="836"/>
      <c r="E20" s="1168">
        <f>SUM(B20:D20)</f>
        <v>0</v>
      </c>
      <c r="F20" s="828"/>
    </row>
    <row r="21" spans="1:6" x14ac:dyDescent="0.2">
      <c r="A21" s="749" t="s">
        <v>545</v>
      </c>
      <c r="B21" s="836"/>
      <c r="C21" s="836"/>
      <c r="D21" s="836"/>
      <c r="E21" s="838">
        <v>0</v>
      </c>
      <c r="F21" s="828"/>
    </row>
    <row r="22" spans="1:6" ht="13.5" thickBot="1" x14ac:dyDescent="0.25">
      <c r="A22" s="746"/>
      <c r="B22" s="840"/>
      <c r="C22" s="840"/>
      <c r="D22" s="840"/>
      <c r="E22" s="838">
        <v>0</v>
      </c>
      <c r="F22" s="828"/>
    </row>
    <row r="23" spans="1:6" ht="13.5" thickBot="1" x14ac:dyDescent="0.25">
      <c r="A23" s="786" t="s">
        <v>49</v>
      </c>
      <c r="B23" s="787">
        <f>SUM(B16:B22)</f>
        <v>0</v>
      </c>
      <c r="C23" s="787">
        <f>SUM(C16:C22)</f>
        <v>10800000</v>
      </c>
      <c r="D23" s="787">
        <f>SUM(D16:D22)</f>
        <v>0</v>
      </c>
      <c r="E23" s="788">
        <f>SUM(E16:E22)</f>
        <v>10800000</v>
      </c>
      <c r="F23" s="828"/>
    </row>
    <row r="24" spans="1:6" x14ac:dyDescent="0.2">
      <c r="A24" s="826"/>
      <c r="B24" s="826"/>
      <c r="C24" s="826"/>
      <c r="D24" s="826"/>
      <c r="E24" s="826"/>
    </row>
    <row r="25" spans="1:6" ht="48.75" customHeight="1" x14ac:dyDescent="0.25">
      <c r="A25" s="1477" t="s">
        <v>789</v>
      </c>
      <c r="B25" s="1477"/>
      <c r="C25" s="1477"/>
      <c r="D25" s="1477"/>
      <c r="E25" s="1477"/>
    </row>
    <row r="26" spans="1:6" ht="14.25" thickBot="1" x14ac:dyDescent="0.3">
      <c r="A26" s="738"/>
      <c r="B26" s="738"/>
      <c r="C26" s="738"/>
      <c r="D26" s="1478" t="s">
        <v>502</v>
      </c>
      <c r="E26" s="1478"/>
    </row>
    <row r="27" spans="1:6" ht="13.5" thickBot="1" x14ac:dyDescent="0.25">
      <c r="A27" s="783" t="s">
        <v>532</v>
      </c>
      <c r="B27" s="784" t="s">
        <v>805</v>
      </c>
      <c r="C27" s="784" t="s">
        <v>797</v>
      </c>
      <c r="D27" s="784" t="s">
        <v>806</v>
      </c>
      <c r="E27" s="785" t="s">
        <v>48</v>
      </c>
    </row>
    <row r="28" spans="1:6" x14ac:dyDescent="0.2">
      <c r="A28" s="739" t="s">
        <v>533</v>
      </c>
      <c r="B28" s="832"/>
      <c r="C28" s="843"/>
      <c r="D28" s="832"/>
      <c r="E28" s="741">
        <f>SUM(B28:D28)</f>
        <v>0</v>
      </c>
    </row>
    <row r="29" spans="1:6" x14ac:dyDescent="0.2">
      <c r="A29" s="742" t="s">
        <v>534</v>
      </c>
      <c r="B29" s="834"/>
      <c r="C29" s="834"/>
      <c r="D29" s="834"/>
      <c r="E29" s="796">
        <f t="shared" ref="E29:E34" si="1">SUM(B29:D29)</f>
        <v>0</v>
      </c>
    </row>
    <row r="30" spans="1:6" x14ac:dyDescent="0.2">
      <c r="A30" s="745" t="s">
        <v>535</v>
      </c>
      <c r="B30" s="836"/>
      <c r="C30" s="837"/>
      <c r="D30" s="836"/>
      <c r="E30" s="796">
        <f t="shared" si="1"/>
        <v>0</v>
      </c>
    </row>
    <row r="31" spans="1:6" x14ac:dyDescent="0.2">
      <c r="A31" s="745" t="s">
        <v>536</v>
      </c>
      <c r="B31" s="836"/>
      <c r="C31" s="836"/>
      <c r="D31" s="836"/>
      <c r="E31" s="796">
        <f t="shared" si="1"/>
        <v>0</v>
      </c>
    </row>
    <row r="32" spans="1:6" x14ac:dyDescent="0.2">
      <c r="A32" s="745" t="s">
        <v>110</v>
      </c>
      <c r="B32" s="836"/>
      <c r="C32" s="836"/>
      <c r="D32" s="836"/>
      <c r="E32" s="796">
        <f t="shared" si="1"/>
        <v>0</v>
      </c>
    </row>
    <row r="33" spans="1:5" x14ac:dyDescent="0.2">
      <c r="A33" s="745" t="s">
        <v>537</v>
      </c>
      <c r="B33" s="836"/>
      <c r="C33" s="836"/>
      <c r="D33" s="836"/>
      <c r="E33" s="796">
        <f t="shared" si="1"/>
        <v>0</v>
      </c>
    </row>
    <row r="34" spans="1:5" ht="13.5" thickBot="1" x14ac:dyDescent="0.25">
      <c r="A34" s="746"/>
      <c r="B34" s="840"/>
      <c r="C34" s="840"/>
      <c r="D34" s="840"/>
      <c r="E34" s="1168">
        <f t="shared" si="1"/>
        <v>0</v>
      </c>
    </row>
    <row r="35" spans="1:5" ht="13.5" thickBot="1" x14ac:dyDescent="0.25">
      <c r="A35" s="786" t="s">
        <v>538</v>
      </c>
      <c r="B35" s="787">
        <f>SUM(B28:B34)</f>
        <v>0</v>
      </c>
      <c r="C35" s="787">
        <f>SUM(C28:C34)</f>
        <v>0</v>
      </c>
      <c r="D35" s="787">
        <f>SUM(D28:D34)</f>
        <v>0</v>
      </c>
      <c r="E35" s="788">
        <f>SUM(E28:E34)</f>
        <v>0</v>
      </c>
    </row>
    <row r="36" spans="1:5" ht="13.5" thickBot="1" x14ac:dyDescent="0.25">
      <c r="A36" s="747"/>
      <c r="B36" s="747"/>
      <c r="C36" s="747"/>
      <c r="D36" s="747"/>
      <c r="E36" s="747"/>
    </row>
    <row r="37" spans="1:5" ht="13.5" thickBot="1" x14ac:dyDescent="0.25">
      <c r="A37" s="783" t="s">
        <v>539</v>
      </c>
      <c r="B37" s="784" t="s">
        <v>805</v>
      </c>
      <c r="C37" s="784" t="s">
        <v>797</v>
      </c>
      <c r="D37" s="784" t="s">
        <v>806</v>
      </c>
      <c r="E37" s="785" t="s">
        <v>48</v>
      </c>
    </row>
    <row r="38" spans="1:5" x14ac:dyDescent="0.2">
      <c r="A38" s="739" t="s">
        <v>540</v>
      </c>
      <c r="B38" s="832"/>
      <c r="C38" s="843"/>
      <c r="D38" s="832"/>
      <c r="E38" s="741">
        <f>SUM(B38:D38)</f>
        <v>0</v>
      </c>
    </row>
    <row r="39" spans="1:5" x14ac:dyDescent="0.2">
      <c r="A39" s="748" t="s">
        <v>541</v>
      </c>
      <c r="B39" s="836"/>
      <c r="C39" s="837"/>
      <c r="D39" s="836"/>
      <c r="E39" s="796">
        <f>SUM(B39:D39)</f>
        <v>0</v>
      </c>
    </row>
    <row r="40" spans="1:5" x14ac:dyDescent="0.2">
      <c r="A40" s="745" t="s">
        <v>542</v>
      </c>
      <c r="B40" s="836"/>
      <c r="C40" s="837"/>
      <c r="D40" s="836"/>
      <c r="E40" s="796">
        <f>SUM(B40:D40)</f>
        <v>0</v>
      </c>
    </row>
    <row r="41" spans="1:5" x14ac:dyDescent="0.2">
      <c r="A41" s="745" t="s">
        <v>543</v>
      </c>
      <c r="B41" s="836"/>
      <c r="C41" s="836"/>
      <c r="D41" s="836"/>
      <c r="E41" s="796">
        <f>SUM(B41:D41)</f>
        <v>0</v>
      </c>
    </row>
    <row r="42" spans="1:5" x14ac:dyDescent="0.2">
      <c r="A42" s="749" t="s">
        <v>544</v>
      </c>
      <c r="B42" s="836"/>
      <c r="C42" s="836"/>
      <c r="D42" s="836"/>
      <c r="E42" s="1168">
        <f>SUM(B42:D42)</f>
        <v>0</v>
      </c>
    </row>
    <row r="43" spans="1:5" x14ac:dyDescent="0.2">
      <c r="A43" s="749" t="s">
        <v>545</v>
      </c>
      <c r="B43" s="836"/>
      <c r="C43" s="836"/>
      <c r="D43" s="836"/>
      <c r="E43" s="838">
        <v>0</v>
      </c>
    </row>
    <row r="44" spans="1:5" ht="13.5" thickBot="1" x14ac:dyDescent="0.25">
      <c r="A44" s="746"/>
      <c r="B44" s="840"/>
      <c r="C44" s="840"/>
      <c r="D44" s="840"/>
      <c r="E44" s="838">
        <v>0</v>
      </c>
    </row>
    <row r="45" spans="1:5" ht="13.5" thickBot="1" x14ac:dyDescent="0.25">
      <c r="A45" s="786" t="s">
        <v>49</v>
      </c>
      <c r="B45" s="787">
        <f>SUM(B38:B44)</f>
        <v>0</v>
      </c>
      <c r="C45" s="787">
        <f>SUM(C38:C44)</f>
        <v>0</v>
      </c>
      <c r="D45" s="787">
        <f>SUM(D38:D44)</f>
        <v>0</v>
      </c>
      <c r="E45" s="788">
        <f>SUM(E38:E44)</f>
        <v>0</v>
      </c>
    </row>
    <row r="46" spans="1:5" x14ac:dyDescent="0.2">
      <c r="A46" s="826"/>
      <c r="B46" s="826"/>
      <c r="C46" s="826"/>
      <c r="D46" s="826"/>
      <c r="E46" s="826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topLeftCell="A142" zoomScale="115" zoomScaleNormal="115" zoomScaleSheetLayoutView="85" workbookViewId="0">
      <selection activeCell="I10" sqref="I10"/>
    </sheetView>
  </sheetViews>
  <sheetFormatPr defaultRowHeight="12.75" x14ac:dyDescent="0.2"/>
  <cols>
    <col min="1" max="1" width="19.5" style="849" customWidth="1"/>
    <col min="2" max="2" width="72" style="348" customWidth="1"/>
    <col min="3" max="3" width="25" style="319" customWidth="1"/>
    <col min="4" max="4" width="16.6640625" style="779" hidden="1" customWidth="1"/>
    <col min="5" max="5" width="11.83203125" style="779" hidden="1" customWidth="1"/>
    <col min="6" max="6" width="11.83203125" style="778" hidden="1" customWidth="1"/>
    <col min="7" max="16384" width="9.33203125" style="769"/>
  </cols>
  <sheetData>
    <row r="1" spans="1:6" x14ac:dyDescent="0.2">
      <c r="A1" s="1479" t="str">
        <f>CONCATENATE("14. melléklet"," ",ALAPADATOK!A7," ",ALAPADATOK!B7," ",ALAPADATOK!C7," ",ALAPADATOK!D7," ",ALAPADATOK!E7," ",ALAPADATOK!F7," ",ALAPADATOK!G7," ",ALAPADATOK!H7)</f>
        <v>14. melléklet a 15 / 2021. ( IX.30. ) önkormányzati rendelethez</v>
      </c>
      <c r="B1" s="1479"/>
      <c r="C1" s="1479"/>
    </row>
    <row r="2" spans="1:6" x14ac:dyDescent="0.2">
      <c r="A2" s="1326"/>
      <c r="B2" s="1326"/>
      <c r="C2" s="1326"/>
    </row>
    <row r="3" spans="1:6" s="1" customFormat="1" ht="16.5" customHeight="1" thickBot="1" x14ac:dyDescent="0.25">
      <c r="A3" s="1445" t="s">
        <v>1032</v>
      </c>
      <c r="B3" s="1445"/>
      <c r="C3" s="1445"/>
      <c r="D3" s="779"/>
      <c r="E3" s="779"/>
      <c r="F3" s="778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9"/>
      <c r="E5" s="779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9"/>
      <c r="E6" s="779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864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864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864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864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64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1188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5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233451309</v>
      </c>
      <c r="D16" s="342">
        <f>'9.1.1. sz. mell. '!C16+'9.1.2. sz. mell.'!C16</f>
        <v>233451309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1185">
        <f>255808159+4143150+23500000-50000000</f>
        <v>233451309</v>
      </c>
      <c r="D21" s="342">
        <f>'9.1.1. sz. mell. '!C21+'9.1.2. sz. mell.'!C21</f>
        <v>233451309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6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1441479073</v>
      </c>
      <c r="D23" s="342">
        <f>'9.1.1. sz. mell. '!C23+'9.1.2. sz. mell.'!C23</f>
        <v>1441479073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867">
        <f>1305000000</f>
        <v>1305000000</v>
      </c>
      <c r="D24" s="342">
        <f>'9.1.1. sz. mell. '!C24+'9.1.2. sz. mell.'!C24</f>
        <v>1305000000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5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5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5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865">
        <f>127479073+9000000</f>
        <v>136479073</v>
      </c>
      <c r="D28" s="342">
        <f>'9.1.1. sz. mell. '!C28+'9.1.2. sz. mell.'!C28</f>
        <v>136479073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6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5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6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7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5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5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1185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5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5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5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5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5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6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6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7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5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5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5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6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7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5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1185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5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5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5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5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3871458016</v>
      </c>
      <c r="D65" s="342">
        <f>'9.1.1. sz. mell. '!C65+'9.1.2. sz. mell.'!C65</f>
        <v>3871458016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868562529</v>
      </c>
      <c r="D66" s="342">
        <f>'9.1.1. sz. mell. '!C66+'9.1.2. sz. mell.'!C66</f>
        <v>868562529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5">
        <f>11503705+7058824</f>
        <v>18562529</v>
      </c>
      <c r="D67" s="342">
        <f>'9.1.1. sz. mell. '!C67+'9.1.2. sz. mell.'!C67</f>
        <v>18562529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865">
        <v>850000000</v>
      </c>
      <c r="D68" s="342">
        <f>'9.1.1. sz. mell. '!C68+'9.1.2. sz. mell.'!C68</f>
        <v>850000000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5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5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5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5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5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5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5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5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5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5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5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5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5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5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1765021094</v>
      </c>
      <c r="D89" s="342">
        <f>'9.1.1. sz. mell. '!C89+'9.1.2. sz. mell.'!C89</f>
        <v>1765021094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5636479110</v>
      </c>
      <c r="D90" s="342">
        <f>'9.1.1. sz. mell. '!C90+'9.1.2. sz. mell.'!C90</f>
        <v>5636479110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9"/>
      <c r="F91" s="341" t="e">
        <f t="shared" si="3"/>
        <v>#REF!</v>
      </c>
    </row>
    <row r="92" spans="1:6" s="32" customFormat="1" ht="16.5" customHeight="1" thickBot="1" x14ac:dyDescent="0.25">
      <c r="A92" s="1482" t="s">
        <v>53</v>
      </c>
      <c r="B92" s="1483"/>
      <c r="C92" s="1484"/>
      <c r="D92" s="342">
        <f>'9.1.1. sz. mell. '!C91+'9.1.2. sz. mell.'!C92</f>
        <v>0</v>
      </c>
      <c r="E92" s="779"/>
      <c r="F92" s="341">
        <f t="shared" si="3"/>
        <v>0</v>
      </c>
    </row>
    <row r="93" spans="1:6" s="773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1032608108</v>
      </c>
      <c r="D93" s="342">
        <f>'9.1.1. sz. mell. '!C92+'9.1.2. sz. mell.'!C93</f>
        <v>1032608108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1245">
        <f>47896992+4143150+1130220+576417</f>
        <v>53746779</v>
      </c>
      <c r="D94" s="342">
        <f>'9.1.1. sz. mell. '!C93+'9.1.2. sz. mell.'!C94</f>
        <v>53746779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1185">
        <f>8163648+642188+255933+65298</f>
        <v>9127067</v>
      </c>
      <c r="D95" s="342">
        <f>'9.1.1. sz. mell. '!C94+'9.1.2. sz. mell.'!C95</f>
        <v>9127067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1186">
        <f>408709299+107725+1951101+96499+300000+152229913+670207</f>
        <v>564064744</v>
      </c>
      <c r="D96" s="342">
        <f>'9.1.1. sz. mell. '!C95+'9.1.2. sz. mell.'!C96</f>
        <v>564064744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866">
        <f>56500000</f>
        <v>56500000</v>
      </c>
      <c r="D97" s="342">
        <f>'9.1.1. sz. mell. '!C96+'9.1.2. sz. mell.'!C97</f>
        <v>56500000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1186">
        <f>SUM(C99:C110)</f>
        <v>252801807</v>
      </c>
      <c r="D98" s="342">
        <f>'9.1.1. sz. mell. '!C97+'9.1.2. sz. mell.'!C98</f>
        <v>252801807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6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6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6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6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6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6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6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6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6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6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6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1185">
        <f>173591867+27025595-4053420+10664415+690537+2436985</f>
        <v>210355979</v>
      </c>
      <c r="D110" s="342">
        <f>'9.1.1. sz. mell. '!C109+'9.1.2. sz. mell.'!C110</f>
        <v>210355979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1185">
        <f>SUM(C112:C113)</f>
        <v>96367711</v>
      </c>
      <c r="D111" s="342">
        <f>'9.1.1. sz. mell. '!C110+'9.1.2. sz. mell.'!C111</f>
        <v>96367711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1186">
        <f>10000000-8622933+2600876-1666257+13433386-939589</f>
        <v>14805483</v>
      </c>
      <c r="D112" s="342">
        <f>'9.1.1. sz. mell. '!C111+'9.1.2. sz. mell.'!C112</f>
        <v>14805483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1204">
        <f>99315612+4715+7058824-10000000-346499-540000-13770424-160000</f>
        <v>81562228</v>
      </c>
      <c r="D113" s="342">
        <f>'9.1.1. sz. mell. '!C112+'9.1.2. sz. mell.'!C113</f>
        <v>81562228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2107898450</v>
      </c>
      <c r="D114" s="342">
        <f>'9.1.1. sz. mell. '!C113+'9.1.2. sz. mell.'!C114</f>
        <v>2107898450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1190">
        <f>535995745+9195000+1809000+254000+2425-101949539+16867463</f>
        <v>462174094</v>
      </c>
      <c r="D115" s="342">
        <f>'9.1.1. sz. mell. '!C114+'9.1.2. sz. mell.'!C115</f>
        <v>462174094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1190">
        <f>401925076+2425-142138515+401550</f>
        <v>260190536</v>
      </c>
      <c r="D116" s="342">
        <f>'9.1.1. sz. mell. '!C115+'9.1.2. sz. mell.'!C116</f>
        <v>260190536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1185">
        <f>357345208+537576+1293527941-11598175</f>
        <v>1639812550</v>
      </c>
      <c r="D117" s="342">
        <f>'9.1.1. sz. mell. '!C116+'9.1.2. sz. mell.'!C117</f>
        <v>1639812550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1185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5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6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3140506558</v>
      </c>
      <c r="D128" s="342">
        <f>'9.1.1. sz. mell. '!C127+'9.1.2. sz. mell.'!C128</f>
        <v>3140506558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874993747</v>
      </c>
      <c r="D129" s="342">
        <f>'9.1.1. sz. mell. '!C128+'9.1.2. sz. mell.'!C129</f>
        <v>874993747</v>
      </c>
      <c r="E129" s="342">
        <f t="shared" si="4"/>
        <v>0</v>
      </c>
      <c r="F129" s="341">
        <f t="shared" si="3"/>
        <v>0</v>
      </c>
    </row>
    <row r="130" spans="1:7" s="773" customFormat="1" ht="12" customHeight="1" thickBot="1" x14ac:dyDescent="0.25">
      <c r="A130" s="198" t="s">
        <v>197</v>
      </c>
      <c r="B130" s="6" t="s">
        <v>460</v>
      </c>
      <c r="C130" s="865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101">
        <v>850000000</v>
      </c>
      <c r="D131" s="342">
        <f>'9.1.1. sz. mell. '!C130+'9.1.2. sz. mell.'!C131</f>
        <v>850000000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73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73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73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73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73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73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73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73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923960497</v>
      </c>
      <c r="D153" s="342">
        <f>'9.1.1. sz. mell. '!C152+'9.1.2. sz. mell.'!C153</f>
        <v>923960497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4064467055</v>
      </c>
      <c r="D154" s="342">
        <f>'9.1.1. sz. mell. '!C153+'9.1.2. sz. mell.'!C154</f>
        <v>4064467055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80" t="s">
        <v>465</v>
      </c>
      <c r="B156" s="1481"/>
      <c r="C156" s="1364">
        <f>5+0.41666666666</f>
        <v>5.4166666666600003</v>
      </c>
      <c r="D156" s="804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80" t="s">
        <v>754</v>
      </c>
      <c r="B157" s="1481"/>
      <c r="C157" s="803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topLeftCell="A145" zoomScale="130" zoomScaleNormal="130" zoomScaleSheetLayoutView="70" workbookViewId="0">
      <selection activeCell="D15" sqref="D15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9" bestFit="1" customWidth="1"/>
    <col min="5" max="16384" width="9.33203125" style="769"/>
  </cols>
  <sheetData>
    <row r="1" spans="1:6" x14ac:dyDescent="0.2">
      <c r="A1" s="1479" t="str">
        <f>CONCATENATE("15. melléklet"," ",ALAPADATOK!A7," ",ALAPADATOK!B7," ",ALAPADATOK!C7," ",ALAPADATOK!D7," ",ALAPADATOK!E7," ",ALAPADATOK!F7," ",ALAPADATOK!G7," ",ALAPADATOK!H7)</f>
        <v>15. melléklet a 15 / 2021. ( IX.30. ) önkormányzati rendelethez</v>
      </c>
      <c r="B1" s="1479"/>
      <c r="C1" s="1479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45" t="s">
        <v>1034</v>
      </c>
      <c r="B3" s="1445"/>
      <c r="C3" s="1445"/>
      <c r="D3" s="779"/>
      <c r="E3" s="779"/>
      <c r="F3" s="778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1344268417</v>
      </c>
    </row>
    <row r="8" spans="1:6" s="38" customFormat="1" ht="12" customHeight="1" x14ac:dyDescent="0.2">
      <c r="A8" s="198" t="s">
        <v>86</v>
      </c>
      <c r="B8" s="184" t="s">
        <v>182</v>
      </c>
      <c r="C8" s="867">
        <f>295696597+1181580</f>
        <v>296878177</v>
      </c>
    </row>
    <row r="9" spans="1:6" s="39" customFormat="1" ht="12" customHeight="1" x14ac:dyDescent="0.2">
      <c r="A9" s="199" t="s">
        <v>87</v>
      </c>
      <c r="B9" s="185" t="s">
        <v>183</v>
      </c>
      <c r="C9" s="865">
        <f>254023920+8379000+651710</f>
        <v>263054630</v>
      </c>
    </row>
    <row r="10" spans="1:6" s="39" customFormat="1" ht="22.5" x14ac:dyDescent="0.2">
      <c r="A10" s="199" t="s">
        <v>88</v>
      </c>
      <c r="B10" s="185" t="s">
        <v>766</v>
      </c>
      <c r="C10" s="865">
        <f>SUM(C11:C12)</f>
        <v>537975110</v>
      </c>
    </row>
    <row r="11" spans="1:6" s="39" customFormat="1" ht="12" customHeight="1" x14ac:dyDescent="0.2">
      <c r="A11" s="199" t="s">
        <v>764</v>
      </c>
      <c r="B11" s="185" t="s">
        <v>767</v>
      </c>
      <c r="C11" s="865">
        <f>323323762+10429183+824490</f>
        <v>334577435</v>
      </c>
    </row>
    <row r="12" spans="1:6" s="39" customFormat="1" ht="12" customHeight="1" x14ac:dyDescent="0.2">
      <c r="A12" s="199" t="s">
        <v>765</v>
      </c>
      <c r="B12" s="185" t="s">
        <v>768</v>
      </c>
      <c r="C12" s="864">
        <f>126258794+1334340+75804541</f>
        <v>203397675</v>
      </c>
    </row>
    <row r="13" spans="1:6" s="39" customFormat="1" ht="12" customHeight="1" x14ac:dyDescent="0.2">
      <c r="A13" s="199" t="s">
        <v>89</v>
      </c>
      <c r="B13" s="185" t="s">
        <v>185</v>
      </c>
      <c r="C13" s="865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1185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5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90208366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1185">
        <f>124208366+16000000-50000000</f>
        <v>90208366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1232379073</v>
      </c>
    </row>
    <row r="24" spans="1:3" s="39" customFormat="1" ht="12" customHeight="1" x14ac:dyDescent="0.2">
      <c r="A24" s="198" t="s">
        <v>75</v>
      </c>
      <c r="B24" s="184" t="s">
        <v>192</v>
      </c>
      <c r="C24" s="867">
        <f>1205000000</f>
        <v>1205000000</v>
      </c>
    </row>
    <row r="25" spans="1:3" s="38" customFormat="1" ht="12" customHeight="1" x14ac:dyDescent="0.2">
      <c r="A25" s="199" t="s">
        <v>76</v>
      </c>
      <c r="B25" s="185" t="s">
        <v>193</v>
      </c>
      <c r="C25" s="865"/>
    </row>
    <row r="26" spans="1:3" s="39" customFormat="1" ht="12" customHeight="1" x14ac:dyDescent="0.2">
      <c r="A26" s="199" t="s">
        <v>77</v>
      </c>
      <c r="B26" s="185" t="s">
        <v>356</v>
      </c>
      <c r="C26" s="865"/>
    </row>
    <row r="27" spans="1:3" s="39" customFormat="1" ht="12" customHeight="1" x14ac:dyDescent="0.2">
      <c r="A27" s="199" t="s">
        <v>78</v>
      </c>
      <c r="B27" s="185" t="s">
        <v>357</v>
      </c>
      <c r="C27" s="865"/>
    </row>
    <row r="28" spans="1:3" s="39" customFormat="1" ht="12" customHeight="1" x14ac:dyDescent="0.2">
      <c r="A28" s="199" t="s">
        <v>123</v>
      </c>
      <c r="B28" s="185" t="s">
        <v>194</v>
      </c>
      <c r="C28" s="865">
        <v>27379073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6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5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6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7"/>
    </row>
    <row r="39" spans="1:3" s="39" customFormat="1" ht="12" customHeight="1" x14ac:dyDescent="0.2">
      <c r="A39" s="199" t="s">
        <v>80</v>
      </c>
      <c r="B39" s="185" t="s">
        <v>210</v>
      </c>
      <c r="C39" s="865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5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1185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5"/>
    </row>
    <row r="43" spans="1:3" s="39" customFormat="1" ht="12" customHeight="1" x14ac:dyDescent="0.2">
      <c r="A43" s="199" t="s">
        <v>129</v>
      </c>
      <c r="B43" s="185" t="s">
        <v>214</v>
      </c>
      <c r="C43" s="865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5"/>
    </row>
    <row r="45" spans="1:3" s="39" customFormat="1" ht="12" customHeight="1" x14ac:dyDescent="0.2">
      <c r="A45" s="199" t="s">
        <v>131</v>
      </c>
      <c r="B45" s="185" t="s">
        <v>216</v>
      </c>
      <c r="C45" s="865"/>
    </row>
    <row r="46" spans="1:3" s="39" customFormat="1" ht="12" customHeight="1" x14ac:dyDescent="0.2">
      <c r="A46" s="199" t="s">
        <v>207</v>
      </c>
      <c r="B46" s="185" t="s">
        <v>217</v>
      </c>
      <c r="C46" s="865"/>
    </row>
    <row r="47" spans="1:3" s="39" customFormat="1" ht="12" customHeight="1" x14ac:dyDescent="0.2">
      <c r="A47" s="200" t="s">
        <v>208</v>
      </c>
      <c r="B47" s="186" t="s">
        <v>397</v>
      </c>
      <c r="C47" s="866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6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7"/>
    </row>
    <row r="51" spans="1:3" s="39" customFormat="1" ht="12" customHeight="1" x14ac:dyDescent="0.2">
      <c r="A51" s="199" t="s">
        <v>83</v>
      </c>
      <c r="B51" s="185" t="s">
        <v>224</v>
      </c>
      <c r="C51" s="865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5"/>
    </row>
    <row r="53" spans="1:3" s="39" customFormat="1" ht="12" customHeight="1" x14ac:dyDescent="0.2">
      <c r="A53" s="199" t="s">
        <v>221</v>
      </c>
      <c r="B53" s="185" t="s">
        <v>226</v>
      </c>
      <c r="C53" s="865"/>
    </row>
    <row r="54" spans="1:3" s="39" customFormat="1" ht="12" customHeight="1" thickBot="1" x14ac:dyDescent="0.25">
      <c r="A54" s="200" t="s">
        <v>222</v>
      </c>
      <c r="B54" s="186" t="s">
        <v>227</v>
      </c>
      <c r="C54" s="866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7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5"/>
    </row>
    <row r="58" spans="1:3" s="39" customFormat="1" ht="12" customHeight="1" x14ac:dyDescent="0.2">
      <c r="A58" s="199" t="s">
        <v>232</v>
      </c>
      <c r="B58" s="185" t="s">
        <v>230</v>
      </c>
      <c r="C58" s="1185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5"/>
    </row>
    <row r="62" spans="1:3" s="39" customFormat="1" ht="12" customHeight="1" x14ac:dyDescent="0.2">
      <c r="A62" s="199" t="s">
        <v>134</v>
      </c>
      <c r="B62" s="185" t="s">
        <v>359</v>
      </c>
      <c r="C62" s="865"/>
    </row>
    <row r="63" spans="1:3" s="39" customFormat="1" ht="12" customHeight="1" x14ac:dyDescent="0.2">
      <c r="A63" s="199" t="s">
        <v>160</v>
      </c>
      <c r="B63" s="185" t="s">
        <v>237</v>
      </c>
      <c r="C63" s="865"/>
    </row>
    <row r="64" spans="1:3" s="39" customFormat="1" ht="12" customHeight="1" thickBot="1" x14ac:dyDescent="0.25">
      <c r="A64" s="200" t="s">
        <v>235</v>
      </c>
      <c r="B64" s="186" t="s">
        <v>238</v>
      </c>
      <c r="C64" s="865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3182554222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868562529</v>
      </c>
    </row>
    <row r="67" spans="1:3" s="39" customFormat="1" ht="12" customHeight="1" x14ac:dyDescent="0.2">
      <c r="A67" s="198" t="s">
        <v>272</v>
      </c>
      <c r="B67" s="184" t="s">
        <v>242</v>
      </c>
      <c r="C67" s="865">
        <f>11503705+7058824</f>
        <v>18562529</v>
      </c>
    </row>
    <row r="68" spans="1:3" s="39" customFormat="1" ht="12" customHeight="1" x14ac:dyDescent="0.2">
      <c r="A68" s="199" t="s">
        <v>281</v>
      </c>
      <c r="B68" s="185" t="s">
        <v>243</v>
      </c>
      <c r="C68" s="865">
        <v>850000000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5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5"/>
    </row>
    <row r="72" spans="1:3" s="39" customFormat="1" ht="12" customHeight="1" x14ac:dyDescent="0.2">
      <c r="A72" s="199" t="s">
        <v>114</v>
      </c>
      <c r="B72" s="185" t="s">
        <v>248</v>
      </c>
      <c r="C72" s="865"/>
    </row>
    <row r="73" spans="1:3" s="39" customFormat="1" ht="12" customHeight="1" x14ac:dyDescent="0.2">
      <c r="A73" s="199" t="s">
        <v>273</v>
      </c>
      <c r="B73" s="185" t="s">
        <v>249</v>
      </c>
      <c r="C73" s="865"/>
    </row>
    <row r="74" spans="1:3" s="39" customFormat="1" ht="12" customHeight="1" thickBot="1" x14ac:dyDescent="0.25">
      <c r="A74" s="200" t="s">
        <v>274</v>
      </c>
      <c r="B74" s="186" t="s">
        <v>250</v>
      </c>
      <c r="C74" s="865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5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5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5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5"/>
    </row>
    <row r="81" spans="1:4" s="39" customFormat="1" ht="12" customHeight="1" thickBot="1" x14ac:dyDescent="0.25">
      <c r="A81" s="200" t="s">
        <v>279</v>
      </c>
      <c r="B81" s="186" t="s">
        <v>259</v>
      </c>
      <c r="C81" s="865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5"/>
    </row>
    <row r="84" spans="1:4" s="39" customFormat="1" ht="12" customHeight="1" x14ac:dyDescent="0.2">
      <c r="A84" s="203" t="s">
        <v>263</v>
      </c>
      <c r="B84" s="185" t="s">
        <v>264</v>
      </c>
      <c r="C84" s="865"/>
    </row>
    <row r="85" spans="1:4" s="39" customFormat="1" ht="12" customHeight="1" x14ac:dyDescent="0.2">
      <c r="A85" s="203" t="s">
        <v>265</v>
      </c>
      <c r="B85" s="185" t="s">
        <v>266</v>
      </c>
      <c r="C85" s="865"/>
    </row>
    <row r="86" spans="1:4" s="38" customFormat="1" ht="12" customHeight="1" thickBot="1" x14ac:dyDescent="0.25">
      <c r="A86" s="204" t="s">
        <v>267</v>
      </c>
      <c r="B86" s="186" t="s">
        <v>268</v>
      </c>
      <c r="C86" s="865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1765021094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4947575316</v>
      </c>
      <c r="D90" s="33"/>
    </row>
    <row r="91" spans="1:4" s="32" customFormat="1" ht="16.5" customHeight="1" thickBot="1" x14ac:dyDescent="0.25">
      <c r="A91" s="1482" t="s">
        <v>53</v>
      </c>
      <c r="B91" s="1483"/>
      <c r="C91" s="1484"/>
    </row>
    <row r="92" spans="1:4" s="773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895296005</v>
      </c>
    </row>
    <row r="93" spans="1:4" ht="12" customHeight="1" x14ac:dyDescent="0.2">
      <c r="A93" s="206" t="s">
        <v>86</v>
      </c>
      <c r="B93" s="7" t="s">
        <v>46</v>
      </c>
      <c r="C93" s="1245">
        <f>44363489+894000+576417</f>
        <v>45833906</v>
      </c>
    </row>
    <row r="94" spans="1:4" ht="12" customHeight="1" x14ac:dyDescent="0.2">
      <c r="A94" s="199" t="s">
        <v>87</v>
      </c>
      <c r="B94" s="5" t="s">
        <v>135</v>
      </c>
      <c r="C94" s="1185">
        <f>6548579+147963+65298</f>
        <v>6761840</v>
      </c>
    </row>
    <row r="95" spans="1:4" ht="12" customHeight="1" x14ac:dyDescent="0.2">
      <c r="A95" s="199" t="s">
        <v>88</v>
      </c>
      <c r="B95" s="5" t="s">
        <v>111</v>
      </c>
      <c r="C95" s="1186">
        <f>317246579+107725+1951101+134755109+1223520</f>
        <v>455284034</v>
      </c>
    </row>
    <row r="96" spans="1:4" ht="12" customHeight="1" x14ac:dyDescent="0.2">
      <c r="A96" s="199" t="s">
        <v>89</v>
      </c>
      <c r="B96" s="8" t="s">
        <v>136</v>
      </c>
      <c r="C96" s="866">
        <v>56500000</v>
      </c>
    </row>
    <row r="97" spans="1:3" ht="12" customHeight="1" x14ac:dyDescent="0.2">
      <c r="A97" s="199" t="s">
        <v>100</v>
      </c>
      <c r="B97" s="16" t="s">
        <v>137</v>
      </c>
      <c r="C97" s="866">
        <f>SUM(C98:C109)</f>
        <v>234548514</v>
      </c>
    </row>
    <row r="98" spans="1:3" ht="12" customHeight="1" x14ac:dyDescent="0.2">
      <c r="A98" s="199" t="s">
        <v>90</v>
      </c>
      <c r="B98" s="5" t="s">
        <v>457</v>
      </c>
      <c r="C98" s="866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6"/>
    </row>
    <row r="100" spans="1:3" ht="12" customHeight="1" x14ac:dyDescent="0.2">
      <c r="A100" s="199" t="s">
        <v>101</v>
      </c>
      <c r="B100" s="58" t="s">
        <v>407</v>
      </c>
      <c r="C100" s="866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6"/>
    </row>
    <row r="102" spans="1:3" ht="12" customHeight="1" x14ac:dyDescent="0.2">
      <c r="A102" s="199" t="s">
        <v>103</v>
      </c>
      <c r="B102" s="59" t="s">
        <v>287</v>
      </c>
      <c r="C102" s="866"/>
    </row>
    <row r="103" spans="1:3" ht="12" customHeight="1" x14ac:dyDescent="0.2">
      <c r="A103" s="199" t="s">
        <v>104</v>
      </c>
      <c r="B103" s="59" t="s">
        <v>288</v>
      </c>
      <c r="C103" s="866"/>
    </row>
    <row r="104" spans="1:3" ht="12" customHeight="1" x14ac:dyDescent="0.2">
      <c r="A104" s="199" t="s">
        <v>106</v>
      </c>
      <c r="B104" s="58" t="s">
        <v>289</v>
      </c>
      <c r="C104" s="866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6"/>
    </row>
    <row r="107" spans="1:3" ht="12" customHeight="1" x14ac:dyDescent="0.2">
      <c r="A107" s="207" t="s">
        <v>285</v>
      </c>
      <c r="B107" s="60" t="s">
        <v>292</v>
      </c>
      <c r="C107" s="866"/>
    </row>
    <row r="108" spans="1:3" ht="12" customHeight="1" x14ac:dyDescent="0.2">
      <c r="A108" s="199" t="s">
        <v>408</v>
      </c>
      <c r="B108" s="60" t="s">
        <v>293</v>
      </c>
      <c r="C108" s="866"/>
    </row>
    <row r="109" spans="1:3" ht="12" customHeight="1" x14ac:dyDescent="0.2">
      <c r="A109" s="199" t="s">
        <v>409</v>
      </c>
      <c r="B109" s="59" t="s">
        <v>294</v>
      </c>
      <c r="C109" s="1185">
        <f>165591867+14963117-2244235+10664415+690537+2436985</f>
        <v>192102686</v>
      </c>
    </row>
    <row r="110" spans="1:3" ht="12" customHeight="1" x14ac:dyDescent="0.2">
      <c r="A110" s="199" t="s">
        <v>410</v>
      </c>
      <c r="B110" s="8" t="s">
        <v>47</v>
      </c>
      <c r="C110" s="865">
        <f>SUM(C111:C112)</f>
        <v>96367711</v>
      </c>
    </row>
    <row r="111" spans="1:3" ht="12" customHeight="1" x14ac:dyDescent="0.2">
      <c r="A111" s="200" t="s">
        <v>411</v>
      </c>
      <c r="B111" s="5" t="s">
        <v>458</v>
      </c>
      <c r="C111" s="1186">
        <f>10000000-8622933+2854876-254000-1666257+13433386-939589</f>
        <v>14805483</v>
      </c>
    </row>
    <row r="112" spans="1:3" ht="12" customHeight="1" thickBot="1" x14ac:dyDescent="0.25">
      <c r="A112" s="208" t="s">
        <v>413</v>
      </c>
      <c r="B112" s="61" t="s">
        <v>459</v>
      </c>
      <c r="C112" s="1204">
        <f>99315612+4715+7058824-10000000-346499-540000-13770424-160000</f>
        <v>81562228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1908816146</v>
      </c>
    </row>
    <row r="114" spans="1:4" ht="12" customHeight="1" x14ac:dyDescent="0.2">
      <c r="A114" s="198" t="s">
        <v>92</v>
      </c>
      <c r="B114" s="5" t="s">
        <v>159</v>
      </c>
      <c r="C114" s="1190">
        <f>438159730+254000+2425-141638515+16314150</f>
        <v>313091790</v>
      </c>
    </row>
    <row r="115" spans="1:4" ht="12" customHeight="1" x14ac:dyDescent="0.2">
      <c r="A115" s="198" t="s">
        <v>93</v>
      </c>
      <c r="B115" s="9" t="s">
        <v>299</v>
      </c>
      <c r="C115" s="1190">
        <f>401925076+2425-142138515+401550</f>
        <v>260190536</v>
      </c>
    </row>
    <row r="116" spans="1:4" ht="12" customHeight="1" x14ac:dyDescent="0.2">
      <c r="A116" s="198" t="s">
        <v>94</v>
      </c>
      <c r="B116" s="9" t="s">
        <v>139</v>
      </c>
      <c r="C116" s="1185">
        <f>357345208+537576+1243527941-11598175</f>
        <v>1589812550</v>
      </c>
    </row>
    <row r="117" spans="1:4" ht="12" customHeight="1" x14ac:dyDescent="0.2">
      <c r="A117" s="198" t="s">
        <v>95</v>
      </c>
      <c r="B117" s="9" t="s">
        <v>300</v>
      </c>
      <c r="C117" s="1185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6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2804112151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873325747</v>
      </c>
    </row>
    <row r="129" spans="1:9" s="773" customFormat="1" ht="12" customHeight="1" x14ac:dyDescent="0.2">
      <c r="A129" s="198" t="s">
        <v>197</v>
      </c>
      <c r="B129" s="6" t="s">
        <v>460</v>
      </c>
      <c r="C129" s="865">
        <v>23325747</v>
      </c>
    </row>
    <row r="130" spans="1:9" ht="12" customHeight="1" x14ac:dyDescent="0.2">
      <c r="A130" s="198" t="s">
        <v>200</v>
      </c>
      <c r="B130" s="6" t="s">
        <v>418</v>
      </c>
      <c r="C130" s="101">
        <v>850000000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73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73" customFormat="1" ht="12" customHeight="1" x14ac:dyDescent="0.2">
      <c r="A142" s="198" t="s">
        <v>220</v>
      </c>
      <c r="B142" s="6" t="s">
        <v>428</v>
      </c>
      <c r="C142" s="101"/>
    </row>
    <row r="143" spans="1:9" s="773" customFormat="1" ht="12" customHeight="1" thickBot="1" x14ac:dyDescent="0.25">
      <c r="A143" s="207" t="s">
        <v>221</v>
      </c>
      <c r="B143" s="4" t="s">
        <v>325</v>
      </c>
      <c r="C143" s="101"/>
    </row>
    <row r="144" spans="1:9" s="773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73" customFormat="1" ht="12" customHeight="1" x14ac:dyDescent="0.2">
      <c r="A145" s="198" t="s">
        <v>84</v>
      </c>
      <c r="B145" s="6" t="s">
        <v>430</v>
      </c>
      <c r="C145" s="101"/>
    </row>
    <row r="146" spans="1:4" s="773" customFormat="1" ht="12" customHeight="1" x14ac:dyDescent="0.2">
      <c r="A146" s="198" t="s">
        <v>85</v>
      </c>
      <c r="B146" s="6" t="s">
        <v>431</v>
      </c>
      <c r="C146" s="101"/>
    </row>
    <row r="147" spans="1:4" s="773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922292497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3726404648</v>
      </c>
      <c r="D153" s="771"/>
    </row>
    <row r="154" spans="1:4" ht="14.25" customHeight="1" thickBot="1" x14ac:dyDescent="0.25">
      <c r="A154" s="97" t="s">
        <v>465</v>
      </c>
      <c r="B154" s="98"/>
      <c r="C154" s="1364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E51" sqref="E51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9" customWidth="1"/>
    <col min="5" max="5" width="16.1640625" style="769" customWidth="1"/>
    <col min="6" max="16384" width="9.33203125" style="769"/>
  </cols>
  <sheetData>
    <row r="1" spans="1:5" x14ac:dyDescent="0.2">
      <c r="A1" s="1479" t="str">
        <f>CONCATENATE("16. melléklet"," ",ALAPADATOK!A7," ",ALAPADATOK!B7," ",ALAPADATOK!C7," ",ALAPADATOK!D7," ",ALAPADATOK!E7," ",ALAPADATOK!F7," ",ALAPADATOK!G7," ",ALAPADATOK!H7)</f>
        <v>16. melléklet a 15 / 2021. ( IX.30. ) önkormányzati rendelethez</v>
      </c>
      <c r="B1" s="1479"/>
      <c r="C1" s="1479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45" t="s">
        <v>1035</v>
      </c>
      <c r="B3" s="1445"/>
      <c r="C3" s="1445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9"/>
      <c r="E7" s="750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9"/>
      <c r="E8" s="750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9"/>
      <c r="E9" s="750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9"/>
      <c r="E10" s="750"/>
    </row>
    <row r="11" spans="1:5" s="39" customFormat="1" ht="12" customHeight="1" x14ac:dyDescent="0.2">
      <c r="A11" s="199" t="s">
        <v>764</v>
      </c>
      <c r="B11" s="185" t="s">
        <v>767</v>
      </c>
      <c r="C11" s="865">
        <f>312152317-1227663+1536897-4234000</f>
        <v>308227551</v>
      </c>
      <c r="D11" s="789"/>
      <c r="E11" s="750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9"/>
      <c r="E12" s="750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9"/>
      <c r="E13" s="750"/>
    </row>
    <row r="14" spans="1:5" s="39" customFormat="1" ht="12" customHeight="1" x14ac:dyDescent="0.2">
      <c r="A14" s="199" t="s">
        <v>112</v>
      </c>
      <c r="B14" s="185" t="s">
        <v>452</v>
      </c>
      <c r="C14" s="865"/>
      <c r="D14" s="789"/>
      <c r="E14" s="750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9"/>
      <c r="E15" s="750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143242943</v>
      </c>
      <c r="D16" s="789"/>
      <c r="E16" s="750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9"/>
      <c r="E17" s="750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9"/>
      <c r="E18" s="750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9"/>
      <c r="E19" s="750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9"/>
      <c r="E20" s="750"/>
    </row>
    <row r="21" spans="1:5" s="38" customFormat="1" ht="12" customHeight="1" x14ac:dyDescent="0.2">
      <c r="A21" s="199" t="s">
        <v>96</v>
      </c>
      <c r="B21" s="185" t="s">
        <v>189</v>
      </c>
      <c r="C21" s="865">
        <f>131199793+400000+4143150+7500000</f>
        <v>143242943</v>
      </c>
      <c r="D21" s="789"/>
      <c r="E21" s="750"/>
    </row>
    <row r="22" spans="1:5" s="39" customFormat="1" ht="12" customHeight="1" thickBot="1" x14ac:dyDescent="0.25">
      <c r="A22" s="200" t="s">
        <v>105</v>
      </c>
      <c r="B22" s="186" t="s">
        <v>190</v>
      </c>
      <c r="C22" s="866"/>
      <c r="D22" s="789"/>
      <c r="E22" s="750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209100000</v>
      </c>
      <c r="D23" s="789"/>
      <c r="E23" s="750"/>
    </row>
    <row r="24" spans="1:5" s="39" customFormat="1" ht="12" customHeight="1" x14ac:dyDescent="0.2">
      <c r="A24" s="198" t="s">
        <v>75</v>
      </c>
      <c r="B24" s="184" t="s">
        <v>192</v>
      </c>
      <c r="C24" s="867">
        <v>100000000</v>
      </c>
      <c r="D24" s="789"/>
      <c r="E24" s="750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9"/>
      <c r="E25" s="750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9"/>
      <c r="E26" s="750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9"/>
      <c r="E27" s="750"/>
    </row>
    <row r="28" spans="1:5" s="39" customFormat="1" ht="12" customHeight="1" x14ac:dyDescent="0.2">
      <c r="A28" s="199" t="s">
        <v>123</v>
      </c>
      <c r="B28" s="185" t="s">
        <v>194</v>
      </c>
      <c r="C28" s="865">
        <f>100100000+9000000</f>
        <v>109100000</v>
      </c>
      <c r="D28" s="789"/>
      <c r="E28" s="750"/>
    </row>
    <row r="29" spans="1:5" s="39" customFormat="1" ht="12" customHeight="1" thickBot="1" x14ac:dyDescent="0.25">
      <c r="A29" s="200" t="s">
        <v>124</v>
      </c>
      <c r="B29" s="186" t="s">
        <v>195</v>
      </c>
      <c r="C29" s="866"/>
      <c r="D29" s="789"/>
      <c r="E29" s="750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9"/>
      <c r="E30" s="750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9"/>
      <c r="E31" s="750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9"/>
      <c r="E32" s="750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9"/>
      <c r="E33" s="750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9"/>
      <c r="E34" s="750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9"/>
      <c r="E35" s="750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9"/>
      <c r="E36" s="750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9"/>
      <c r="E37" s="750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9"/>
      <c r="E38" s="750"/>
    </row>
    <row r="39" spans="1:5" s="39" customFormat="1" ht="12" customHeight="1" x14ac:dyDescent="0.2">
      <c r="A39" s="199" t="s">
        <v>80</v>
      </c>
      <c r="B39" s="185" t="s">
        <v>210</v>
      </c>
      <c r="C39" s="865">
        <v>550000</v>
      </c>
      <c r="D39" s="789"/>
      <c r="E39" s="750"/>
    </row>
    <row r="40" spans="1:5" s="39" customFormat="1" ht="12" customHeight="1" x14ac:dyDescent="0.2">
      <c r="A40" s="199" t="s">
        <v>81</v>
      </c>
      <c r="B40" s="185" t="s">
        <v>211</v>
      </c>
      <c r="C40" s="865"/>
      <c r="D40" s="789"/>
      <c r="E40" s="750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9"/>
      <c r="E41" s="750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9"/>
      <c r="E42" s="750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9"/>
      <c r="E43" s="750"/>
    </row>
    <row r="44" spans="1:5" s="39" customFormat="1" ht="12" customHeight="1" x14ac:dyDescent="0.2">
      <c r="A44" s="199" t="s">
        <v>130</v>
      </c>
      <c r="B44" s="185" t="s">
        <v>215</v>
      </c>
      <c r="C44" s="865">
        <f>25525800+1809000</f>
        <v>27334800</v>
      </c>
      <c r="D44" s="789"/>
      <c r="E44" s="750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9"/>
      <c r="E45" s="750"/>
    </row>
    <row r="46" spans="1:5" s="39" customFormat="1" ht="12" customHeight="1" x14ac:dyDescent="0.2">
      <c r="A46" s="199" t="s">
        <v>207</v>
      </c>
      <c r="B46" s="185" t="s">
        <v>217</v>
      </c>
      <c r="C46" s="865"/>
      <c r="D46" s="789"/>
      <c r="E46" s="750"/>
    </row>
    <row r="47" spans="1:5" s="39" customFormat="1" ht="12" customHeight="1" x14ac:dyDescent="0.2">
      <c r="A47" s="200" t="s">
        <v>208</v>
      </c>
      <c r="B47" s="186" t="s">
        <v>397</v>
      </c>
      <c r="C47" s="866"/>
      <c r="D47" s="789"/>
      <c r="E47" s="750"/>
    </row>
    <row r="48" spans="1:5" s="39" customFormat="1" ht="12" customHeight="1" thickBot="1" x14ac:dyDescent="0.25">
      <c r="A48" s="200" t="s">
        <v>398</v>
      </c>
      <c r="B48" s="186" t="s">
        <v>218</v>
      </c>
      <c r="C48" s="866">
        <v>100000</v>
      </c>
      <c r="D48" s="789"/>
      <c r="E48" s="750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9"/>
      <c r="E49" s="750"/>
    </row>
    <row r="50" spans="1:5" s="39" customFormat="1" ht="12" customHeight="1" x14ac:dyDescent="0.2">
      <c r="A50" s="198" t="s">
        <v>82</v>
      </c>
      <c r="B50" s="184" t="s">
        <v>223</v>
      </c>
      <c r="C50" s="867"/>
      <c r="D50" s="789"/>
      <c r="E50" s="750"/>
    </row>
    <row r="51" spans="1:5" s="39" customFormat="1" ht="12" customHeight="1" x14ac:dyDescent="0.2">
      <c r="A51" s="199" t="s">
        <v>83</v>
      </c>
      <c r="B51" s="185" t="s">
        <v>224</v>
      </c>
      <c r="C51" s="865"/>
      <c r="D51" s="789"/>
      <c r="E51" s="750"/>
    </row>
    <row r="52" spans="1:5" s="39" customFormat="1" ht="12" customHeight="1" x14ac:dyDescent="0.2">
      <c r="A52" s="199" t="s">
        <v>220</v>
      </c>
      <c r="B52" s="185" t="s">
        <v>225</v>
      </c>
      <c r="C52" s="865"/>
      <c r="D52" s="789"/>
      <c r="E52" s="750"/>
    </row>
    <row r="53" spans="1:5" s="39" customFormat="1" ht="12" customHeight="1" x14ac:dyDescent="0.2">
      <c r="A53" s="199" t="s">
        <v>221</v>
      </c>
      <c r="B53" s="185" t="s">
        <v>226</v>
      </c>
      <c r="C53" s="865"/>
      <c r="D53" s="789"/>
      <c r="E53" s="750"/>
    </row>
    <row r="54" spans="1:5" s="39" customFormat="1" ht="12" customHeight="1" thickBot="1" x14ac:dyDescent="0.25">
      <c r="A54" s="200" t="s">
        <v>222</v>
      </c>
      <c r="B54" s="186" t="s">
        <v>227</v>
      </c>
      <c r="C54" s="866"/>
      <c r="D54" s="789"/>
      <c r="E54" s="750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9"/>
      <c r="E55" s="750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9"/>
      <c r="E56" s="750"/>
    </row>
    <row r="57" spans="1:5" s="39" customFormat="1" ht="12" customHeight="1" x14ac:dyDescent="0.2">
      <c r="A57" s="199" t="s">
        <v>85</v>
      </c>
      <c r="B57" s="185" t="s">
        <v>358</v>
      </c>
      <c r="C57" s="865">
        <v>200000</v>
      </c>
      <c r="D57" s="789"/>
      <c r="E57" s="750"/>
    </row>
    <row r="58" spans="1:5" s="39" customFormat="1" ht="12" customHeight="1" x14ac:dyDescent="0.2">
      <c r="A58" s="199" t="s">
        <v>232</v>
      </c>
      <c r="B58" s="185" t="s">
        <v>230</v>
      </c>
      <c r="C58" s="865"/>
      <c r="D58" s="789"/>
      <c r="E58" s="750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9"/>
      <c r="E59" s="750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9"/>
      <c r="E60" s="750"/>
    </row>
    <row r="61" spans="1:5" s="39" customFormat="1" ht="12" customHeight="1" x14ac:dyDescent="0.2">
      <c r="A61" s="198" t="s">
        <v>133</v>
      </c>
      <c r="B61" s="184" t="s">
        <v>236</v>
      </c>
      <c r="C61" s="865"/>
      <c r="D61" s="789"/>
      <c r="E61" s="750"/>
    </row>
    <row r="62" spans="1:5" s="39" customFormat="1" ht="12" customHeight="1" x14ac:dyDescent="0.2">
      <c r="A62" s="199" t="s">
        <v>134</v>
      </c>
      <c r="B62" s="185" t="s">
        <v>359</v>
      </c>
      <c r="C62" s="865"/>
      <c r="D62" s="789"/>
      <c r="E62" s="750"/>
    </row>
    <row r="63" spans="1:5" s="39" customFormat="1" ht="12" customHeight="1" x14ac:dyDescent="0.2">
      <c r="A63" s="199" t="s">
        <v>160</v>
      </c>
      <c r="B63" s="185" t="s">
        <v>237</v>
      </c>
      <c r="C63" s="865"/>
      <c r="D63" s="789"/>
      <c r="E63" s="750"/>
    </row>
    <row r="64" spans="1:5" s="39" customFormat="1" ht="12" customHeight="1" thickBot="1" x14ac:dyDescent="0.25">
      <c r="A64" s="200" t="s">
        <v>235</v>
      </c>
      <c r="B64" s="186" t="s">
        <v>238</v>
      </c>
      <c r="C64" s="865"/>
      <c r="D64" s="789"/>
      <c r="E64" s="750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688903794</v>
      </c>
      <c r="D65" s="789"/>
      <c r="E65" s="750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9"/>
      <c r="E66" s="750"/>
    </row>
    <row r="67" spans="1:5" s="39" customFormat="1" ht="12" customHeight="1" x14ac:dyDescent="0.2">
      <c r="A67" s="198" t="s">
        <v>272</v>
      </c>
      <c r="B67" s="184" t="s">
        <v>242</v>
      </c>
      <c r="C67" s="865"/>
      <c r="D67" s="789"/>
      <c r="E67" s="750"/>
    </row>
    <row r="68" spans="1:5" s="39" customFormat="1" ht="12" customHeight="1" x14ac:dyDescent="0.2">
      <c r="A68" s="199" t="s">
        <v>281</v>
      </c>
      <c r="B68" s="185" t="s">
        <v>243</v>
      </c>
      <c r="C68" s="865"/>
      <c r="D68" s="789"/>
      <c r="E68" s="750"/>
    </row>
    <row r="69" spans="1:5" s="39" customFormat="1" ht="12" customHeight="1" thickBot="1" x14ac:dyDescent="0.25">
      <c r="A69" s="200" t="s">
        <v>282</v>
      </c>
      <c r="B69" s="187" t="s">
        <v>244</v>
      </c>
      <c r="C69" s="865"/>
      <c r="D69" s="789"/>
      <c r="E69" s="750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9"/>
      <c r="E70" s="750"/>
    </row>
    <row r="71" spans="1:5" s="39" customFormat="1" ht="12" customHeight="1" x14ac:dyDescent="0.2">
      <c r="A71" s="198" t="s">
        <v>113</v>
      </c>
      <c r="B71" s="184" t="s">
        <v>247</v>
      </c>
      <c r="C71" s="865"/>
      <c r="D71" s="789"/>
      <c r="E71" s="750"/>
    </row>
    <row r="72" spans="1:5" s="39" customFormat="1" ht="12" customHeight="1" x14ac:dyDescent="0.2">
      <c r="A72" s="199" t="s">
        <v>114</v>
      </c>
      <c r="B72" s="185" t="s">
        <v>248</v>
      </c>
      <c r="C72" s="865"/>
      <c r="D72" s="789"/>
      <c r="E72" s="750"/>
    </row>
    <row r="73" spans="1:5" s="39" customFormat="1" ht="12" customHeight="1" x14ac:dyDescent="0.2">
      <c r="A73" s="199" t="s">
        <v>273</v>
      </c>
      <c r="B73" s="185" t="s">
        <v>249</v>
      </c>
      <c r="C73" s="865"/>
      <c r="D73" s="789"/>
      <c r="E73" s="750"/>
    </row>
    <row r="74" spans="1:5" s="39" customFormat="1" ht="12" customHeight="1" thickBot="1" x14ac:dyDescent="0.25">
      <c r="A74" s="200" t="s">
        <v>274</v>
      </c>
      <c r="B74" s="186" t="s">
        <v>250</v>
      </c>
      <c r="C74" s="865"/>
      <c r="D74" s="789"/>
      <c r="E74" s="750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9"/>
      <c r="E75" s="750"/>
    </row>
    <row r="76" spans="1:5" s="39" customFormat="1" ht="12" customHeight="1" x14ac:dyDescent="0.2">
      <c r="A76" s="198" t="s">
        <v>275</v>
      </c>
      <c r="B76" s="184" t="s">
        <v>253</v>
      </c>
      <c r="C76" s="865"/>
      <c r="D76" s="789"/>
      <c r="E76" s="750"/>
    </row>
    <row r="77" spans="1:5" s="39" customFormat="1" ht="12" customHeight="1" thickBot="1" x14ac:dyDescent="0.25">
      <c r="A77" s="200" t="s">
        <v>276</v>
      </c>
      <c r="B77" s="186" t="s">
        <v>254</v>
      </c>
      <c r="C77" s="865"/>
      <c r="D77" s="789"/>
      <c r="E77" s="750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9"/>
      <c r="E78" s="750"/>
    </row>
    <row r="79" spans="1:5" s="39" customFormat="1" ht="12" customHeight="1" x14ac:dyDescent="0.2">
      <c r="A79" s="198" t="s">
        <v>277</v>
      </c>
      <c r="B79" s="184" t="s">
        <v>257</v>
      </c>
      <c r="C79" s="865"/>
      <c r="D79" s="789"/>
      <c r="E79" s="750"/>
    </row>
    <row r="80" spans="1:5" s="39" customFormat="1" ht="12" customHeight="1" x14ac:dyDescent="0.2">
      <c r="A80" s="199" t="s">
        <v>278</v>
      </c>
      <c r="B80" s="185" t="s">
        <v>258</v>
      </c>
      <c r="C80" s="865"/>
      <c r="D80" s="789"/>
      <c r="E80" s="750"/>
    </row>
    <row r="81" spans="1:5" s="39" customFormat="1" ht="12" customHeight="1" thickBot="1" x14ac:dyDescent="0.25">
      <c r="A81" s="200" t="s">
        <v>279</v>
      </c>
      <c r="B81" s="186" t="s">
        <v>259</v>
      </c>
      <c r="C81" s="865"/>
      <c r="D81" s="789"/>
      <c r="E81" s="750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9"/>
      <c r="E82" s="750"/>
    </row>
    <row r="83" spans="1:5" s="39" customFormat="1" ht="12" customHeight="1" x14ac:dyDescent="0.2">
      <c r="A83" s="202" t="s">
        <v>261</v>
      </c>
      <c r="B83" s="184" t="s">
        <v>262</v>
      </c>
      <c r="C83" s="865"/>
      <c r="D83" s="789"/>
      <c r="E83" s="750"/>
    </row>
    <row r="84" spans="1:5" s="39" customFormat="1" ht="12" customHeight="1" x14ac:dyDescent="0.2">
      <c r="A84" s="203" t="s">
        <v>263</v>
      </c>
      <c r="B84" s="185" t="s">
        <v>264</v>
      </c>
      <c r="C84" s="865"/>
      <c r="D84" s="789"/>
      <c r="E84" s="750"/>
    </row>
    <row r="85" spans="1:5" s="39" customFormat="1" ht="12" customHeight="1" x14ac:dyDescent="0.2">
      <c r="A85" s="203" t="s">
        <v>265</v>
      </c>
      <c r="B85" s="185" t="s">
        <v>266</v>
      </c>
      <c r="C85" s="865"/>
      <c r="D85" s="789"/>
      <c r="E85" s="750"/>
    </row>
    <row r="86" spans="1:5" s="38" customFormat="1" ht="12" customHeight="1" thickBot="1" x14ac:dyDescent="0.25">
      <c r="A86" s="204" t="s">
        <v>267</v>
      </c>
      <c r="B86" s="186" t="s">
        <v>268</v>
      </c>
      <c r="C86" s="865"/>
      <c r="D86" s="789"/>
      <c r="E86" s="750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9"/>
      <c r="E87" s="750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9"/>
      <c r="E88" s="750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9"/>
      <c r="E89" s="750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688903794</v>
      </c>
      <c r="D90" s="789"/>
      <c r="E90" s="750"/>
    </row>
    <row r="91" spans="1:5" s="39" customFormat="1" ht="15" customHeight="1" thickBot="1" x14ac:dyDescent="0.25">
      <c r="A91" s="89"/>
      <c r="B91" s="90"/>
      <c r="C91" s="161"/>
      <c r="E91" s="750"/>
    </row>
    <row r="92" spans="1:5" s="32" customFormat="1" ht="16.5" customHeight="1" thickBot="1" x14ac:dyDescent="0.25">
      <c r="A92" s="1482" t="s">
        <v>53</v>
      </c>
      <c r="B92" s="1483"/>
      <c r="C92" s="1484"/>
      <c r="E92" s="750"/>
    </row>
    <row r="93" spans="1:5" s="773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137312103</v>
      </c>
      <c r="E93" s="750"/>
    </row>
    <row r="94" spans="1:5" ht="12" customHeight="1" x14ac:dyDescent="0.2">
      <c r="A94" s="206" t="s">
        <v>86</v>
      </c>
      <c r="B94" s="395" t="s">
        <v>46</v>
      </c>
      <c r="C94" s="261">
        <f>3533503+4143150+236220</f>
        <v>7912873</v>
      </c>
      <c r="D94" s="773"/>
      <c r="E94" s="750"/>
    </row>
    <row r="95" spans="1:5" ht="12" customHeight="1" x14ac:dyDescent="0.2">
      <c r="A95" s="199" t="s">
        <v>87</v>
      </c>
      <c r="B95" s="396" t="s">
        <v>135</v>
      </c>
      <c r="C95" s="864">
        <f>1615069+642188+107970</f>
        <v>2365227</v>
      </c>
      <c r="D95" s="773"/>
      <c r="E95" s="750"/>
    </row>
    <row r="96" spans="1:5" ht="12" customHeight="1" x14ac:dyDescent="0.2">
      <c r="A96" s="199" t="s">
        <v>88</v>
      </c>
      <c r="B96" s="396" t="s">
        <v>111</v>
      </c>
      <c r="C96" s="1328">
        <f>91462720+96499+300000+17474804-553313</f>
        <v>108780710</v>
      </c>
      <c r="D96" s="773"/>
      <c r="E96" s="750"/>
    </row>
    <row r="97" spans="1:5" ht="12" customHeight="1" x14ac:dyDescent="0.2">
      <c r="A97" s="199" t="s">
        <v>89</v>
      </c>
      <c r="B97" s="399" t="s">
        <v>136</v>
      </c>
      <c r="C97" s="173"/>
      <c r="D97" s="773"/>
      <c r="E97" s="750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73"/>
      <c r="E98" s="750"/>
    </row>
    <row r="99" spans="1:5" ht="12" customHeight="1" x14ac:dyDescent="0.2">
      <c r="A99" s="199" t="s">
        <v>90</v>
      </c>
      <c r="B99" s="396" t="s">
        <v>457</v>
      </c>
      <c r="C99" s="173"/>
      <c r="D99" s="773"/>
      <c r="E99" s="750"/>
    </row>
    <row r="100" spans="1:5" ht="12" customHeight="1" x14ac:dyDescent="0.2">
      <c r="A100" s="199" t="s">
        <v>91</v>
      </c>
      <c r="B100" s="407" t="s">
        <v>406</v>
      </c>
      <c r="C100" s="173"/>
      <c r="D100" s="773"/>
      <c r="E100" s="750"/>
    </row>
    <row r="101" spans="1:5" ht="12" customHeight="1" x14ac:dyDescent="0.2">
      <c r="A101" s="199" t="s">
        <v>101</v>
      </c>
      <c r="B101" s="407" t="s">
        <v>407</v>
      </c>
      <c r="C101" s="173"/>
      <c r="D101" s="773"/>
      <c r="E101" s="750"/>
    </row>
    <row r="102" spans="1:5" ht="12" customHeight="1" x14ac:dyDescent="0.2">
      <c r="A102" s="199" t="s">
        <v>102</v>
      </c>
      <c r="B102" s="407" t="s">
        <v>286</v>
      </c>
      <c r="C102" s="173"/>
      <c r="D102" s="773"/>
      <c r="E102" s="750"/>
    </row>
    <row r="103" spans="1:5" ht="12" customHeight="1" x14ac:dyDescent="0.2">
      <c r="A103" s="199" t="s">
        <v>103</v>
      </c>
      <c r="B103" s="404" t="s">
        <v>287</v>
      </c>
      <c r="C103" s="173"/>
      <c r="D103" s="773"/>
      <c r="E103" s="750"/>
    </row>
    <row r="104" spans="1:5" ht="12" customHeight="1" x14ac:dyDescent="0.2">
      <c r="A104" s="199" t="s">
        <v>104</v>
      </c>
      <c r="B104" s="404" t="s">
        <v>288</v>
      </c>
      <c r="C104" s="173"/>
      <c r="D104" s="773"/>
      <c r="E104" s="750"/>
    </row>
    <row r="105" spans="1:5" ht="12" customHeight="1" x14ac:dyDescent="0.2">
      <c r="A105" s="199" t="s">
        <v>106</v>
      </c>
      <c r="B105" s="407" t="s">
        <v>289</v>
      </c>
      <c r="C105" s="173"/>
      <c r="D105" s="773"/>
      <c r="E105" s="750"/>
    </row>
    <row r="106" spans="1:5" ht="12" customHeight="1" x14ac:dyDescent="0.2">
      <c r="A106" s="199" t="s">
        <v>138</v>
      </c>
      <c r="B106" s="407" t="s">
        <v>290</v>
      </c>
      <c r="C106" s="173"/>
      <c r="D106" s="773"/>
      <c r="E106" s="750"/>
    </row>
    <row r="107" spans="1:5" ht="12" customHeight="1" x14ac:dyDescent="0.2">
      <c r="A107" s="199" t="s">
        <v>284</v>
      </c>
      <c r="B107" s="404" t="s">
        <v>291</v>
      </c>
      <c r="C107" s="173"/>
      <c r="D107" s="773"/>
      <c r="E107" s="750"/>
    </row>
    <row r="108" spans="1:5" ht="12" customHeight="1" x14ac:dyDescent="0.2">
      <c r="A108" s="207" t="s">
        <v>285</v>
      </c>
      <c r="B108" s="398" t="s">
        <v>292</v>
      </c>
      <c r="C108" s="173"/>
      <c r="D108" s="773"/>
      <c r="E108" s="750"/>
    </row>
    <row r="109" spans="1:5" ht="12" customHeight="1" x14ac:dyDescent="0.2">
      <c r="A109" s="199" t="s">
        <v>408</v>
      </c>
      <c r="B109" s="398" t="s">
        <v>293</v>
      </c>
      <c r="C109" s="173"/>
      <c r="D109" s="773"/>
      <c r="E109" s="750"/>
    </row>
    <row r="110" spans="1:5" ht="12" customHeight="1" x14ac:dyDescent="0.2">
      <c r="A110" s="199" t="s">
        <v>409</v>
      </c>
      <c r="B110" s="404" t="s">
        <v>294</v>
      </c>
      <c r="C110" s="864">
        <f>8000000+12062478-1809185</f>
        <v>18253293</v>
      </c>
      <c r="D110" s="773"/>
      <c r="E110" s="750"/>
    </row>
    <row r="111" spans="1:5" ht="12" customHeight="1" x14ac:dyDescent="0.2">
      <c r="A111" s="199" t="s">
        <v>410</v>
      </c>
      <c r="B111" s="399" t="s">
        <v>47</v>
      </c>
      <c r="C111" s="113"/>
      <c r="D111" s="773"/>
      <c r="E111" s="750"/>
    </row>
    <row r="112" spans="1:5" ht="12" customHeight="1" x14ac:dyDescent="0.2">
      <c r="A112" s="200" t="s">
        <v>411</v>
      </c>
      <c r="B112" s="396" t="s">
        <v>458</v>
      </c>
      <c r="C112" s="115"/>
      <c r="D112" s="773"/>
      <c r="E112" s="750"/>
    </row>
    <row r="113" spans="1:5" ht="12" customHeight="1" thickBot="1" x14ac:dyDescent="0.25">
      <c r="A113" s="208" t="s">
        <v>413</v>
      </c>
      <c r="B113" s="1360" t="s">
        <v>459</v>
      </c>
      <c r="C113" s="119"/>
      <c r="D113" s="773"/>
      <c r="E113" s="750"/>
    </row>
    <row r="114" spans="1:5" ht="12" customHeight="1" thickBot="1" x14ac:dyDescent="0.25">
      <c r="A114" s="25" t="s">
        <v>17</v>
      </c>
      <c r="B114" s="1361" t="s">
        <v>295</v>
      </c>
      <c r="C114" s="112">
        <f>+C115+C117+C119</f>
        <v>199082304</v>
      </c>
      <c r="D114" s="773"/>
      <c r="E114" s="750"/>
    </row>
    <row r="115" spans="1:5" ht="12" customHeight="1" x14ac:dyDescent="0.2">
      <c r="A115" s="198" t="s">
        <v>92</v>
      </c>
      <c r="B115" s="396" t="s">
        <v>159</v>
      </c>
      <c r="C115" s="1362">
        <f>97836015+9195000+1809000+39688976+553313</f>
        <v>149082304</v>
      </c>
      <c r="D115" s="773"/>
      <c r="E115" s="750"/>
    </row>
    <row r="116" spans="1:5" ht="12" customHeight="1" x14ac:dyDescent="0.2">
      <c r="A116" s="198" t="s">
        <v>93</v>
      </c>
      <c r="B116" s="397" t="s">
        <v>299</v>
      </c>
      <c r="C116" s="222"/>
      <c r="D116" s="773"/>
      <c r="E116" s="750"/>
    </row>
    <row r="117" spans="1:5" ht="12" customHeight="1" x14ac:dyDescent="0.2">
      <c r="A117" s="198" t="s">
        <v>94</v>
      </c>
      <c r="B117" s="397" t="s">
        <v>139</v>
      </c>
      <c r="C117" s="864">
        <v>50000000</v>
      </c>
      <c r="D117" s="773"/>
      <c r="E117" s="750"/>
    </row>
    <row r="118" spans="1:5" ht="12" customHeight="1" x14ac:dyDescent="0.2">
      <c r="A118" s="198" t="s">
        <v>95</v>
      </c>
      <c r="B118" s="397" t="s">
        <v>300</v>
      </c>
      <c r="C118" s="113"/>
      <c r="D118" s="773"/>
      <c r="E118" s="750"/>
    </row>
    <row r="119" spans="1:5" ht="12" customHeight="1" x14ac:dyDescent="0.2">
      <c r="A119" s="198" t="s">
        <v>96</v>
      </c>
      <c r="B119" s="389" t="s">
        <v>161</v>
      </c>
      <c r="C119" s="864"/>
      <c r="D119" s="773"/>
      <c r="E119" s="750"/>
    </row>
    <row r="120" spans="1:5" ht="12" customHeight="1" x14ac:dyDescent="0.2">
      <c r="A120" s="198" t="s">
        <v>105</v>
      </c>
      <c r="B120" s="388" t="s">
        <v>360</v>
      </c>
      <c r="C120" s="864"/>
      <c r="D120" s="773"/>
      <c r="E120" s="750"/>
    </row>
    <row r="121" spans="1:5" ht="12" customHeight="1" x14ac:dyDescent="0.2">
      <c r="A121" s="198" t="s">
        <v>107</v>
      </c>
      <c r="B121" s="403" t="s">
        <v>305</v>
      </c>
      <c r="C121" s="864"/>
      <c r="D121" s="773"/>
      <c r="E121" s="750"/>
    </row>
    <row r="122" spans="1:5" ht="12" customHeight="1" x14ac:dyDescent="0.2">
      <c r="A122" s="198" t="s">
        <v>140</v>
      </c>
      <c r="B122" s="404" t="s">
        <v>288</v>
      </c>
      <c r="C122" s="864"/>
      <c r="D122" s="773"/>
      <c r="E122" s="750"/>
    </row>
    <row r="123" spans="1:5" ht="12" customHeight="1" x14ac:dyDescent="0.2">
      <c r="A123" s="198" t="s">
        <v>141</v>
      </c>
      <c r="B123" s="404" t="s">
        <v>304</v>
      </c>
      <c r="C123" s="864"/>
      <c r="D123" s="773"/>
      <c r="E123" s="750"/>
    </row>
    <row r="124" spans="1:5" ht="12" customHeight="1" x14ac:dyDescent="0.2">
      <c r="A124" s="198" t="s">
        <v>142</v>
      </c>
      <c r="B124" s="404" t="s">
        <v>303</v>
      </c>
      <c r="C124" s="864"/>
      <c r="D124" s="773"/>
      <c r="E124" s="750"/>
    </row>
    <row r="125" spans="1:5" ht="12" customHeight="1" x14ac:dyDescent="0.2">
      <c r="A125" s="198" t="s">
        <v>296</v>
      </c>
      <c r="B125" s="404" t="s">
        <v>291</v>
      </c>
      <c r="C125" s="864"/>
      <c r="D125" s="773"/>
      <c r="E125" s="750"/>
    </row>
    <row r="126" spans="1:5" ht="12" customHeight="1" x14ac:dyDescent="0.2">
      <c r="A126" s="198" t="s">
        <v>297</v>
      </c>
      <c r="B126" s="404" t="s">
        <v>302</v>
      </c>
      <c r="C126" s="864"/>
      <c r="D126" s="773"/>
      <c r="E126" s="750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73"/>
      <c r="E127" s="750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336394407</v>
      </c>
      <c r="D128" s="773"/>
      <c r="E128" s="750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73"/>
      <c r="E129" s="750"/>
    </row>
    <row r="130" spans="1:11" s="773" customFormat="1" ht="12" customHeight="1" x14ac:dyDescent="0.2">
      <c r="A130" s="198" t="s">
        <v>197</v>
      </c>
      <c r="B130" s="401" t="s">
        <v>460</v>
      </c>
      <c r="C130" s="864">
        <v>1668000</v>
      </c>
      <c r="E130" s="750"/>
    </row>
    <row r="131" spans="1:11" ht="12" customHeight="1" x14ac:dyDescent="0.2">
      <c r="A131" s="198" t="s">
        <v>200</v>
      </c>
      <c r="B131" s="401" t="s">
        <v>418</v>
      </c>
      <c r="C131" s="113"/>
      <c r="D131" s="773"/>
      <c r="E131" s="750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73"/>
      <c r="E132" s="750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73"/>
      <c r="E133" s="750"/>
    </row>
    <row r="134" spans="1:11" ht="12" customHeight="1" x14ac:dyDescent="0.2">
      <c r="A134" s="198" t="s">
        <v>79</v>
      </c>
      <c r="B134" s="401" t="s">
        <v>421</v>
      </c>
      <c r="C134" s="113"/>
      <c r="D134" s="773"/>
      <c r="E134" s="750"/>
    </row>
    <row r="135" spans="1:11" ht="12" customHeight="1" x14ac:dyDescent="0.2">
      <c r="A135" s="198" t="s">
        <v>80</v>
      </c>
      <c r="B135" s="401" t="s">
        <v>422</v>
      </c>
      <c r="C135" s="113"/>
      <c r="D135" s="773"/>
      <c r="E135" s="750"/>
    </row>
    <row r="136" spans="1:11" ht="12" customHeight="1" x14ac:dyDescent="0.2">
      <c r="A136" s="198" t="s">
        <v>81</v>
      </c>
      <c r="B136" s="401" t="s">
        <v>423</v>
      </c>
      <c r="C136" s="113"/>
      <c r="D136" s="773"/>
      <c r="E136" s="750"/>
    </row>
    <row r="137" spans="1:11" ht="12" customHeight="1" x14ac:dyDescent="0.2">
      <c r="A137" s="198" t="s">
        <v>127</v>
      </c>
      <c r="B137" s="401" t="s">
        <v>462</v>
      </c>
      <c r="C137" s="113"/>
      <c r="D137" s="773"/>
      <c r="E137" s="750"/>
    </row>
    <row r="138" spans="1:11" ht="12" customHeight="1" x14ac:dyDescent="0.2">
      <c r="A138" s="198" t="s">
        <v>128</v>
      </c>
      <c r="B138" s="401" t="s">
        <v>425</v>
      </c>
      <c r="C138" s="113"/>
      <c r="D138" s="773"/>
      <c r="E138" s="750"/>
    </row>
    <row r="139" spans="1:11" s="773" customFormat="1" ht="12" customHeight="1" thickBot="1" x14ac:dyDescent="0.25">
      <c r="A139" s="207" t="s">
        <v>129</v>
      </c>
      <c r="B139" s="402" t="s">
        <v>426</v>
      </c>
      <c r="C139" s="113"/>
      <c r="E139" s="750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73"/>
      <c r="E140" s="750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73"/>
      <c r="E141" s="750"/>
    </row>
    <row r="142" spans="1:11" ht="12" customHeight="1" x14ac:dyDescent="0.2">
      <c r="A142" s="198" t="s">
        <v>83</v>
      </c>
      <c r="B142" s="401" t="s">
        <v>307</v>
      </c>
      <c r="C142" s="113"/>
      <c r="D142" s="773"/>
      <c r="E142" s="750"/>
    </row>
    <row r="143" spans="1:11" s="773" customFormat="1" ht="12" customHeight="1" x14ac:dyDescent="0.2">
      <c r="A143" s="198" t="s">
        <v>220</v>
      </c>
      <c r="B143" s="401" t="s">
        <v>428</v>
      </c>
      <c r="C143" s="113"/>
      <c r="E143" s="750"/>
    </row>
    <row r="144" spans="1:11" s="773" customFormat="1" ht="12" customHeight="1" thickBot="1" x14ac:dyDescent="0.25">
      <c r="A144" s="207" t="s">
        <v>221</v>
      </c>
      <c r="B144" s="402" t="s">
        <v>325</v>
      </c>
      <c r="C144" s="113"/>
      <c r="E144" s="750"/>
    </row>
    <row r="145" spans="1:5" s="773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50"/>
    </row>
    <row r="146" spans="1:5" s="773" customFormat="1" ht="12" customHeight="1" x14ac:dyDescent="0.2">
      <c r="A146" s="198" t="s">
        <v>84</v>
      </c>
      <c r="B146" s="401" t="s">
        <v>430</v>
      </c>
      <c r="C146" s="113"/>
      <c r="E146" s="750"/>
    </row>
    <row r="147" spans="1:5" s="773" customFormat="1" ht="12" customHeight="1" x14ac:dyDescent="0.2">
      <c r="A147" s="198" t="s">
        <v>85</v>
      </c>
      <c r="B147" s="401" t="s">
        <v>431</v>
      </c>
      <c r="C147" s="113"/>
      <c r="E147" s="750"/>
    </row>
    <row r="148" spans="1:5" s="773" customFormat="1" ht="12" customHeight="1" x14ac:dyDescent="0.2">
      <c r="A148" s="198" t="s">
        <v>232</v>
      </c>
      <c r="B148" s="401" t="s">
        <v>432</v>
      </c>
      <c r="C148" s="113"/>
      <c r="E148" s="750"/>
    </row>
    <row r="149" spans="1:5" ht="12.75" customHeight="1" x14ac:dyDescent="0.2">
      <c r="A149" s="198" t="s">
        <v>233</v>
      </c>
      <c r="B149" s="401" t="s">
        <v>464</v>
      </c>
      <c r="C149" s="113"/>
      <c r="D149" s="773"/>
      <c r="E149" s="750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73"/>
      <c r="E150" s="750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73"/>
      <c r="E151" s="750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73"/>
      <c r="E152" s="750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73"/>
      <c r="E153" s="750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338062407</v>
      </c>
      <c r="D154" s="773"/>
      <c r="E154" s="750"/>
    </row>
    <row r="155" spans="1:5" ht="15" customHeight="1" thickBot="1" x14ac:dyDescent="0.25"/>
    <row r="156" spans="1:5" ht="14.25" customHeight="1" thickBot="1" x14ac:dyDescent="0.25">
      <c r="A156" s="1480" t="s">
        <v>754</v>
      </c>
      <c r="B156" s="1481"/>
      <c r="C156" s="803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topLeftCell="A31" zoomScale="115" zoomScaleNormal="115" zoomScaleSheetLayoutView="100" zoomScalePageLayoutView="85" workbookViewId="0">
      <selection activeCell="A4" sqref="A4:C59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14" style="320" customWidth="1"/>
    <col min="4" max="4" width="10" style="780" hidden="1" customWidth="1"/>
    <col min="5" max="5" width="10.5" style="780" hidden="1" customWidth="1"/>
    <col min="6" max="9" width="9.33203125" style="791" customWidth="1"/>
    <col min="10" max="19" width="9.33203125" style="791"/>
    <col min="20" max="16384" width="9.33203125" style="775"/>
  </cols>
  <sheetData>
    <row r="1" spans="1:19" x14ac:dyDescent="0.2">
      <c r="A1" s="1485" t="str">
        <f>CONCATENATE("17. melléklet"," ",ALAPADATOK!A7," ",ALAPADATOK!B7," ",ALAPADATOK!C7," ",ALAPADATOK!D7," ",ALAPADATOK!E7," ",ALAPADATOK!F7," ",ALAPADATOK!G7," ",ALAPADATOK!H7)</f>
        <v>17. melléklet a 15 / 2021. ( IX.30. ) önkormányzati rendelethez</v>
      </c>
      <c r="B1" s="1485"/>
      <c r="C1" s="1485"/>
    </row>
    <row r="2" spans="1:19" s="77" customFormat="1" ht="21" customHeight="1" x14ac:dyDescent="0.2">
      <c r="A2" s="76"/>
      <c r="B2" s="78"/>
      <c r="C2" s="216"/>
      <c r="D2" s="780"/>
      <c r="E2" s="780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45" t="s">
        <v>1036</v>
      </c>
      <c r="B3" s="1445"/>
      <c r="C3" s="1445"/>
      <c r="D3" s="779"/>
      <c r="E3" s="779"/>
      <c r="F3" s="778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7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5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5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60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5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5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5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5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7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5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60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5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7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54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6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7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54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6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8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8">
        <f>+C38+C39+C40</f>
        <v>272509866</v>
      </c>
      <c r="D37" s="351">
        <f>'9.2.1. sz. mell'!C37+'9.2.2. sz.  mell'!C39+'9.2.3. sz. mell.'!C37</f>
        <v>272509866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54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8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1181">
        <f>228893476-3278940+9870431+36785200+23000</f>
        <v>272293167</v>
      </c>
      <c r="D40" s="351">
        <f>'9.2.1. sz. mell'!C40+'9.2.2. sz.  mell'!C42+'9.2.3. sz. mell.'!C40</f>
        <v>272293167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318712314</v>
      </c>
      <c r="D41" s="351">
        <f>'9.2.1. sz. mell'!C41+'9.2.2. sz.  mell'!C43+'9.2.3. sz. mell.'!C41</f>
        <v>318712314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80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7">
        <f>SUM(C46:C50)</f>
        <v>315947115</v>
      </c>
      <c r="D45" s="351">
        <f>'9.2.1. sz. mell'!C45+'9.2.2. sz.  mell'!C47+'9.2.3. sz. mell.'!C45</f>
        <v>315947115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54">
        <f>166097510-1748000+8563501</f>
        <v>172913011</v>
      </c>
      <c r="D46" s="351">
        <f>'9.2.1. sz. mell'!C46+'9.2.2. sz.  mell'!C48+'9.2.3. sz. mell.'!C46</f>
        <v>172913011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5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60">
        <f>41258155-1260000+72899034+23000</f>
        <v>112920189</v>
      </c>
      <c r="D48" s="351">
        <f>'9.2.1. sz. mell'!C48+'9.2.2. sz.  mell'!C50+'9.2.3. sz. mell.'!C48</f>
        <v>112920189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5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5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7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54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5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5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5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318712314</v>
      </c>
      <c r="D57" s="351">
        <f>'9.2.1. sz. mell'!C57+'9.2.2. sz.  mell'!C59+'9.2.3. sz. mell.'!C57</f>
        <v>318712314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80" t="s">
        <v>465</v>
      </c>
      <c r="B59" s="1481"/>
      <c r="C59" s="1364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63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E13" sqref="E13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775" customWidth="1"/>
    <col min="4" max="16384" width="9.33203125" style="775"/>
  </cols>
  <sheetData>
    <row r="1" spans="1:3" x14ac:dyDescent="0.2">
      <c r="A1" s="1485" t="str">
        <f>CONCATENATE("18. melléklet"," ",ALAPADATOK!A7," ",ALAPADATOK!B7," ",ALAPADATOK!C7," ",ALAPADATOK!D7," ",ALAPADATOK!E7," ",ALAPADATOK!F7," ",ALAPADATOK!G7," ",ALAPADATOK!H7)</f>
        <v>18. melléklet a 15 / 2021. ( IX.30. ) önkormányzati rendelethez</v>
      </c>
      <c r="B1" s="1485"/>
      <c r="C1" s="1485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45" t="s">
        <v>1037</v>
      </c>
      <c r="B3" s="1445"/>
      <c r="C3" s="1445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7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5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5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5"/>
    </row>
    <row r="12" spans="1:3" s="168" customFormat="1" ht="12" customHeight="1" x14ac:dyDescent="0.2">
      <c r="A12" s="212" t="s">
        <v>112</v>
      </c>
      <c r="B12" s="5" t="s">
        <v>213</v>
      </c>
      <c r="C12" s="855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5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5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7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5"/>
    </row>
    <row r="22" spans="1:3" s="220" customFormat="1" ht="12" customHeight="1" x14ac:dyDescent="0.2">
      <c r="A22" s="212" t="s">
        <v>94</v>
      </c>
      <c r="B22" s="5" t="s">
        <v>337</v>
      </c>
      <c r="C22" s="860"/>
    </row>
    <row r="23" spans="1:3" s="220" customFormat="1" ht="12" customHeight="1" thickBot="1" x14ac:dyDescent="0.25">
      <c r="A23" s="212" t="s">
        <v>95</v>
      </c>
      <c r="B23" s="5" t="s">
        <v>468</v>
      </c>
      <c r="C23" s="855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7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54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6"/>
    </row>
    <row r="30" spans="1:3" s="220" customFormat="1" ht="12" customHeight="1" thickBot="1" x14ac:dyDescent="0.25">
      <c r="A30" s="74" t="s">
        <v>20</v>
      </c>
      <c r="B30" s="54" t="s">
        <v>339</v>
      </c>
      <c r="C30" s="857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4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6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8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8">
        <f>+C38+C39+C40</f>
        <v>41199195</v>
      </c>
    </row>
    <row r="38" spans="1:3" s="168" customFormat="1" ht="12" customHeight="1" x14ac:dyDescent="0.2">
      <c r="A38" s="213" t="s">
        <v>343</v>
      </c>
      <c r="B38" s="214" t="s">
        <v>168</v>
      </c>
      <c r="C38" s="854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81">
        <f>4174296+36785200+23000</f>
        <v>40982496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86901643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7">
        <f>SUM(C46:C50)</f>
        <v>86113543</v>
      </c>
    </row>
    <row r="46" spans="1:3" ht="12" customHeight="1" x14ac:dyDescent="0.2">
      <c r="A46" s="212" t="s">
        <v>86</v>
      </c>
      <c r="B46" s="6" t="s">
        <v>46</v>
      </c>
      <c r="C46" s="854">
        <v>7226713</v>
      </c>
    </row>
    <row r="47" spans="1:3" ht="12" customHeight="1" x14ac:dyDescent="0.2">
      <c r="A47" s="212" t="s">
        <v>87</v>
      </c>
      <c r="B47" s="5" t="s">
        <v>135</v>
      </c>
      <c r="C47" s="855">
        <v>1117901</v>
      </c>
    </row>
    <row r="48" spans="1:3" ht="12" customHeight="1" x14ac:dyDescent="0.2">
      <c r="A48" s="212" t="s">
        <v>88</v>
      </c>
      <c r="B48" s="5" t="s">
        <v>111</v>
      </c>
      <c r="C48" s="860">
        <f>5246895+72499034+23000</f>
        <v>77768929</v>
      </c>
    </row>
    <row r="49" spans="1:3" ht="12" customHeight="1" x14ac:dyDescent="0.2">
      <c r="A49" s="212" t="s">
        <v>89</v>
      </c>
      <c r="B49" s="5" t="s">
        <v>136</v>
      </c>
      <c r="C49" s="855"/>
    </row>
    <row r="50" spans="1:3" ht="12" customHeight="1" thickBot="1" x14ac:dyDescent="0.25">
      <c r="A50" s="212" t="s">
        <v>112</v>
      </c>
      <c r="B50" s="5" t="s">
        <v>137</v>
      </c>
      <c r="C50" s="855"/>
    </row>
    <row r="51" spans="1:3" ht="12" customHeight="1" thickBot="1" x14ac:dyDescent="0.25">
      <c r="A51" s="74" t="s">
        <v>17</v>
      </c>
      <c r="B51" s="54" t="s">
        <v>349</v>
      </c>
      <c r="C51" s="857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54">
        <v>788100</v>
      </c>
    </row>
    <row r="53" spans="1:3" ht="12" customHeight="1" x14ac:dyDescent="0.2">
      <c r="A53" s="212" t="s">
        <v>93</v>
      </c>
      <c r="B53" s="5" t="s">
        <v>139</v>
      </c>
      <c r="C53" s="855"/>
    </row>
    <row r="54" spans="1:3" ht="12" customHeight="1" x14ac:dyDescent="0.2">
      <c r="A54" s="212" t="s">
        <v>94</v>
      </c>
      <c r="B54" s="5" t="s">
        <v>54</v>
      </c>
      <c r="C54" s="855"/>
    </row>
    <row r="55" spans="1:3" ht="12" customHeight="1" thickBot="1" x14ac:dyDescent="0.25">
      <c r="A55" s="212" t="s">
        <v>95</v>
      </c>
      <c r="B55" s="5" t="s">
        <v>471</v>
      </c>
      <c r="C55" s="855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86901643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F17" sqref="F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20" customWidth="1"/>
    <col min="4" max="16384" width="9.33203125" style="775"/>
  </cols>
  <sheetData>
    <row r="1" spans="1:3" x14ac:dyDescent="0.2">
      <c r="A1" s="1485" t="str">
        <f>CONCATENATE("9.2.2. melléklet ",ALAPADATOK!A7," ",ALAPADATOK!B7," ",ALAPADATOK!C7," ",ALAPADATOK!D7," ",ALAPADATOK!E7," ",ALAPADATOK!F7," ",ALAPADATOK!G7," ",ALAPADATOK!H7)</f>
        <v>9.2.2. melléklet a 15 / 2021. ( IX.30. ) önkormányzati rendelethez</v>
      </c>
      <c r="B1" s="1485"/>
      <c r="C1" s="1485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7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5"/>
    </row>
    <row r="12" spans="1:3" s="168" customFormat="1" ht="12" customHeight="1" x14ac:dyDescent="0.2">
      <c r="A12" s="212" t="s">
        <v>88</v>
      </c>
      <c r="B12" s="5" t="s">
        <v>211</v>
      </c>
      <c r="C12" s="855"/>
    </row>
    <row r="13" spans="1:3" s="168" customFormat="1" ht="12" customHeight="1" x14ac:dyDescent="0.2">
      <c r="A13" s="212" t="s">
        <v>89</v>
      </c>
      <c r="B13" s="5" t="s">
        <v>212</v>
      </c>
      <c r="C13" s="855"/>
    </row>
    <row r="14" spans="1:3" s="168" customFormat="1" ht="12" customHeight="1" x14ac:dyDescent="0.2">
      <c r="A14" s="212" t="s">
        <v>112</v>
      </c>
      <c r="B14" s="5" t="s">
        <v>213</v>
      </c>
      <c r="C14" s="855"/>
    </row>
    <row r="15" spans="1:3" s="168" customFormat="1" ht="12" customHeight="1" x14ac:dyDescent="0.2">
      <c r="A15" s="212" t="s">
        <v>90</v>
      </c>
      <c r="B15" s="5" t="s">
        <v>333</v>
      </c>
      <c r="C15" s="855"/>
    </row>
    <row r="16" spans="1:3" s="168" customFormat="1" ht="12" customHeight="1" x14ac:dyDescent="0.2">
      <c r="A16" s="212" t="s">
        <v>91</v>
      </c>
      <c r="B16" s="4" t="s">
        <v>334</v>
      </c>
      <c r="C16" s="855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5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7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5"/>
    </row>
    <row r="24" spans="1:3" s="220" customFormat="1" ht="12" customHeight="1" x14ac:dyDescent="0.2">
      <c r="A24" s="212" t="s">
        <v>94</v>
      </c>
      <c r="B24" s="5" t="s">
        <v>337</v>
      </c>
      <c r="C24" s="860"/>
    </row>
    <row r="25" spans="1:3" s="220" customFormat="1" ht="12" customHeight="1" thickBot="1" x14ac:dyDescent="0.25">
      <c r="A25" s="212" t="s">
        <v>95</v>
      </c>
      <c r="B25" s="5" t="s">
        <v>468</v>
      </c>
      <c r="C25" s="855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7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54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6"/>
    </row>
    <row r="32" spans="1:3" s="220" customFormat="1" ht="12" customHeight="1" thickBot="1" x14ac:dyDescent="0.25">
      <c r="A32" s="74" t="s">
        <v>20</v>
      </c>
      <c r="B32" s="54" t="s">
        <v>339</v>
      </c>
      <c r="C32" s="857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54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6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8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8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54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6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7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9"/>
    </row>
    <row r="49" spans="1:3" ht="12" customHeight="1" x14ac:dyDescent="0.2">
      <c r="A49" s="212" t="s">
        <v>87</v>
      </c>
      <c r="B49" s="5" t="s">
        <v>135</v>
      </c>
      <c r="C49" s="855">
        <v>7314</v>
      </c>
    </row>
    <row r="50" spans="1:3" ht="12" customHeight="1" x14ac:dyDescent="0.2">
      <c r="A50" s="212" t="s">
        <v>88</v>
      </c>
      <c r="B50" s="5" t="s">
        <v>111</v>
      </c>
      <c r="C50" s="855">
        <v>101600</v>
      </c>
    </row>
    <row r="51" spans="1:3" ht="12" customHeight="1" x14ac:dyDescent="0.2">
      <c r="A51" s="212" t="s">
        <v>89</v>
      </c>
      <c r="B51" s="5" t="s">
        <v>136</v>
      </c>
      <c r="C51" s="855"/>
    </row>
    <row r="52" spans="1:3" ht="12" customHeight="1" thickBot="1" x14ac:dyDescent="0.25">
      <c r="A52" s="212" t="s">
        <v>112</v>
      </c>
      <c r="B52" s="5" t="s">
        <v>137</v>
      </c>
      <c r="C52" s="855"/>
    </row>
    <row r="53" spans="1:3" ht="12" customHeight="1" thickBot="1" x14ac:dyDescent="0.25">
      <c r="A53" s="74" t="s">
        <v>17</v>
      </c>
      <c r="B53" s="54" t="s">
        <v>349</v>
      </c>
      <c r="C53" s="857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9"/>
    </row>
    <row r="55" spans="1:3" ht="12" customHeight="1" x14ac:dyDescent="0.2">
      <c r="A55" s="212" t="s">
        <v>93</v>
      </c>
      <c r="B55" s="5" t="s">
        <v>139</v>
      </c>
      <c r="C55" s="855"/>
    </row>
    <row r="56" spans="1:3" ht="12" customHeight="1" x14ac:dyDescent="0.2">
      <c r="A56" s="212" t="s">
        <v>94</v>
      </c>
      <c r="B56" s="5" t="s">
        <v>54</v>
      </c>
      <c r="C56" s="855"/>
    </row>
    <row r="57" spans="1:3" ht="12" customHeight="1" thickBot="1" x14ac:dyDescent="0.25">
      <c r="A57" s="212" t="s">
        <v>95</v>
      </c>
      <c r="B57" s="5" t="s">
        <v>471</v>
      </c>
      <c r="C57" s="855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F17" sqref="F1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20" customWidth="1"/>
    <col min="4" max="16384" width="9.33203125" style="775"/>
  </cols>
  <sheetData>
    <row r="1" spans="1:3" x14ac:dyDescent="0.2">
      <c r="A1" s="1485" t="str">
        <f>CONCATENATE("16. melléklet"," ",ALAPADATOK!A7," ",ALAPADATOK!B7," ",ALAPADATOK!C7," ",ALAPADATOK!D7," ",ALAPADATOK!E7," ",ALAPADATOK!F7," ",ALAPADATOK!G7," ",ALAPADATOK!H7)</f>
        <v>16. melléklet a 15 / 2021. ( IX.30. ) önkormányzati rendelethez</v>
      </c>
      <c r="B1" s="1485"/>
      <c r="C1" s="1485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45" t="s">
        <v>1038</v>
      </c>
      <c r="B3" s="1445"/>
      <c r="C3" s="1445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7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5"/>
    </row>
    <row r="10" spans="1:3" s="168" customFormat="1" ht="12" customHeight="1" x14ac:dyDescent="0.2">
      <c r="A10" s="212" t="s">
        <v>88</v>
      </c>
      <c r="B10" s="5" t="s">
        <v>211</v>
      </c>
      <c r="C10" s="860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5"/>
    </row>
    <row r="12" spans="1:3" s="168" customFormat="1" ht="12" customHeight="1" x14ac:dyDescent="0.2">
      <c r="A12" s="212" t="s">
        <v>112</v>
      </c>
      <c r="B12" s="5" t="s">
        <v>213</v>
      </c>
      <c r="C12" s="855"/>
    </row>
    <row r="13" spans="1:3" s="168" customFormat="1" ht="12" customHeight="1" x14ac:dyDescent="0.2">
      <c r="A13" s="212" t="s">
        <v>90</v>
      </c>
      <c r="B13" s="5" t="s">
        <v>333</v>
      </c>
      <c r="C13" s="855"/>
    </row>
    <row r="14" spans="1:3" s="168" customFormat="1" ht="12" customHeight="1" x14ac:dyDescent="0.2">
      <c r="A14" s="212" t="s">
        <v>91</v>
      </c>
      <c r="B14" s="4" t="s">
        <v>334</v>
      </c>
      <c r="C14" s="855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5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7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5"/>
    </row>
    <row r="22" spans="1:3" s="220" customFormat="1" ht="12" customHeight="1" x14ac:dyDescent="0.2">
      <c r="A22" s="212" t="s">
        <v>94</v>
      </c>
      <c r="B22" s="5" t="s">
        <v>337</v>
      </c>
      <c r="C22" s="860"/>
    </row>
    <row r="23" spans="1:3" s="220" customFormat="1" ht="12" customHeight="1" thickBot="1" x14ac:dyDescent="0.25">
      <c r="A23" s="212" t="s">
        <v>95</v>
      </c>
      <c r="B23" s="5" t="s">
        <v>468</v>
      </c>
      <c r="C23" s="855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7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54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6"/>
    </row>
    <row r="30" spans="1:3" s="220" customFormat="1" ht="12" customHeight="1" thickBot="1" x14ac:dyDescent="0.25">
      <c r="A30" s="74" t="s">
        <v>20</v>
      </c>
      <c r="B30" s="54" t="s">
        <v>339</v>
      </c>
      <c r="C30" s="857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4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6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8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8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54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6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318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7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54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5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60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5"/>
    </row>
    <row r="50" spans="1:3" ht="12" customHeight="1" thickBot="1" x14ac:dyDescent="0.25">
      <c r="A50" s="212" t="s">
        <v>112</v>
      </c>
      <c r="B50" s="5" t="s">
        <v>137</v>
      </c>
      <c r="C50" s="855"/>
    </row>
    <row r="51" spans="1:3" ht="12" customHeight="1" thickBot="1" x14ac:dyDescent="0.25">
      <c r="A51" s="74" t="s">
        <v>17</v>
      </c>
      <c r="B51" s="54" t="s">
        <v>349</v>
      </c>
      <c r="C51" s="857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54">
        <v>1977099</v>
      </c>
    </row>
    <row r="53" spans="1:3" ht="12" customHeight="1" x14ac:dyDescent="0.2">
      <c r="A53" s="212" t="s">
        <v>93</v>
      </c>
      <c r="B53" s="5" t="s">
        <v>139</v>
      </c>
      <c r="C53" s="855"/>
    </row>
    <row r="54" spans="1:3" ht="12" customHeight="1" x14ac:dyDescent="0.2">
      <c r="A54" s="212" t="s">
        <v>94</v>
      </c>
      <c r="B54" s="5" t="s">
        <v>54</v>
      </c>
      <c r="C54" s="855"/>
    </row>
    <row r="55" spans="1:3" ht="12" customHeight="1" thickBot="1" x14ac:dyDescent="0.25">
      <c r="A55" s="212" t="s">
        <v>95</v>
      </c>
      <c r="B55" s="5" t="s">
        <v>471</v>
      </c>
      <c r="C55" s="855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80" t="s">
        <v>465</v>
      </c>
      <c r="B59" s="1481"/>
      <c r="C59" s="1364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G55"/>
  <sheetViews>
    <sheetView workbookViewId="0">
      <selection activeCell="A3" sqref="A3:C3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hidden="1" customWidth="1"/>
    <col min="5" max="5" width="11.83203125" style="798" hidden="1" customWidth="1"/>
    <col min="6" max="6" width="9.83203125" style="798" hidden="1" customWidth="1"/>
    <col min="7" max="7" width="8" style="775" hidden="1" customWidth="1"/>
    <col min="8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x14ac:dyDescent="0.2">
      <c r="A1" s="1485" t="str">
        <f>CONCATENATE("19. melléklet"," ",ALAPADATOK!A7," ",ALAPADATOK!B7," ",ALAPADATOK!C7," ",ALAPADATOK!D7," ",ALAPADATOK!E7," ",ALAPADATOK!F7," ",ALAPADATOK!G7," ",ALAPADATOK!H7)</f>
        <v>19. melléklet a 15 / 2021. ( IX.30. ) önkormányzati rendelethez</v>
      </c>
      <c r="B1" s="1485"/>
      <c r="C1" s="1485"/>
    </row>
    <row r="2" spans="1:6" s="77" customFormat="1" ht="21" customHeight="1" x14ac:dyDescent="0.2">
      <c r="A2" s="76"/>
      <c r="B2" s="78"/>
      <c r="C2" s="326"/>
      <c r="E2" s="798"/>
      <c r="F2" s="798"/>
    </row>
    <row r="3" spans="1:6" s="217" customFormat="1" ht="33" customHeight="1" thickBot="1" x14ac:dyDescent="0.25">
      <c r="A3" s="1445" t="s">
        <v>1039</v>
      </c>
      <c r="B3" s="1445"/>
      <c r="C3" s="1445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335339713</v>
      </c>
      <c r="E36" s="499">
        <f>'9.3.1. sz. mell EOI'!C37+'9.3.2.sz.mell EOI'!C39</f>
        <v>335339713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6">
        <f>335938966-2631637-1951101+2722139</f>
        <v>334078367</v>
      </c>
      <c r="E39" s="499">
        <f>'9.3.1. sz. mell EOI'!C40+'9.3.2.sz.mell EOI'!C42</f>
        <v>334078367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343810919</v>
      </c>
      <c r="E40" s="499">
        <f>'9.3.1. sz. mell EOI'!C41+'9.3.2.sz.mell EOI'!C43</f>
        <v>343810919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343010919</v>
      </c>
      <c r="E42" s="499">
        <f>'9.3.1. sz. mell EOI'!C43+'9.3.2.sz.mell EOI'!C47</f>
        <v>343010919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59">
        <f>218334179-1760664+18000+64010+2356830+263273</f>
        <v>219275628</v>
      </c>
      <c r="E43" s="499">
        <f>'9.3.1. sz. mell EOI'!C44+'9.3.2.sz.mell EOI'!C48</f>
        <v>219275628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60">
        <f>38909967-272903+35990+365309+36727</f>
        <v>39075090</v>
      </c>
      <c r="E44" s="499">
        <f>'9.3.1. sz. mell EOI'!C45+'9.3.2.sz.mell EOI'!C49</f>
        <v>39075090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60">
        <f>87035872-280570+256000-1951101-100000-300000</f>
        <v>84660201</v>
      </c>
      <c r="E45" s="499">
        <f>'9.3.1. sz. mell EOI'!C46+'9.3.2.sz.mell EOI'!C50</f>
        <v>84660201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343810919</v>
      </c>
      <c r="E54" s="499">
        <f>'9.3.1. sz. mell EOI'!C55+'9.3.2.sz.mell EOI'!C59</f>
        <v>343810919</v>
      </c>
      <c r="F54" s="499">
        <f t="shared" si="0"/>
        <v>0</v>
      </c>
    </row>
    <row r="55" spans="1:6" ht="13.5" thickBot="1" x14ac:dyDescent="0.25">
      <c r="A55" s="1480" t="s">
        <v>465</v>
      </c>
      <c r="B55" s="1481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zoomScale="115" zoomScaleNormal="115" zoomScaleSheetLayoutView="100" workbookViewId="0">
      <selection activeCell="K9" sqref="K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34" t="str">
        <f>CONCATENATE("2. melléklet"," ",ALAPADATOK!A7," ",ALAPADATOK!B7," ",ALAPADATOK!C7," ",ALAPADATOK!D7," ",ALAPADATOK!E7," ",ALAPADATOK!F7," ",ALAPADATOK!G7," ",ALAPADATOK!H7)</f>
        <v>2. melléklet a 15 / 2021. ( IX.30. ) önkormányzati rendelethez</v>
      </c>
      <c r="B1" s="1434"/>
      <c r="C1" s="1434"/>
    </row>
    <row r="2" spans="1:6" s="816" customFormat="1" x14ac:dyDescent="0.25">
      <c r="A2" s="692"/>
      <c r="B2" s="692"/>
      <c r="C2" s="692"/>
    </row>
    <row r="3" spans="1:6" s="671" customFormat="1" x14ac:dyDescent="0.25">
      <c r="A3" s="1439" t="str">
        <f>CONCATENATE(ALAPADATOK!A3)</f>
        <v>Tiszavasvári Város Önkormányzat</v>
      </c>
      <c r="B3" s="1439"/>
      <c r="C3" s="1439"/>
    </row>
    <row r="4" spans="1:6" s="671" customFormat="1" x14ac:dyDescent="0.25">
      <c r="A4" s="1438" t="str">
        <f>CONCATENATE(ALAPADATOK!D7," ÉVI KÖLTSÉGVETÉS")</f>
        <v>2021. ÉVI KÖLTSÉGVETÉS</v>
      </c>
      <c r="B4" s="1438"/>
      <c r="C4" s="1438"/>
    </row>
    <row r="5" spans="1:6" s="671" customFormat="1" x14ac:dyDescent="0.25">
      <c r="A5" s="1438" t="s">
        <v>715</v>
      </c>
      <c r="B5" s="1438"/>
      <c r="C5" s="1438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36" t="s">
        <v>13</v>
      </c>
      <c r="B7" s="1436"/>
      <c r="C7" s="1436"/>
      <c r="D7" s="814"/>
      <c r="E7" s="814"/>
      <c r="F7" s="814"/>
    </row>
    <row r="8" spans="1:6" ht="15.95" customHeight="1" thickBot="1" x14ac:dyDescent="0.3">
      <c r="A8" s="1435" t="s">
        <v>115</v>
      </c>
      <c r="B8" s="1435"/>
      <c r="C8" s="121" t="s">
        <v>494</v>
      </c>
      <c r="D8" s="814"/>
      <c r="E8" s="814"/>
      <c r="F8" s="814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14" t="s">
        <v>499</v>
      </c>
      <c r="E9" s="814" t="s">
        <v>500</v>
      </c>
      <c r="F9" s="814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289">
        <f t="shared" si="0"/>
        <v>296878177</v>
      </c>
      <c r="D12" s="867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290">
        <f t="shared" si="0"/>
        <v>263054630</v>
      </c>
      <c r="D13" s="865">
        <f>254023920+8379000+651710</f>
        <v>263054630</v>
      </c>
      <c r="E13" s="864"/>
      <c r="F13" s="864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537975110</v>
      </c>
      <c r="D14" s="865">
        <f>SUM(D15:D16)</f>
        <v>537975110</v>
      </c>
      <c r="E14" s="864"/>
      <c r="F14" s="864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334577435</v>
      </c>
      <c r="D15" s="865">
        <f>323323762+10429183+824490</f>
        <v>334577435</v>
      </c>
      <c r="E15" s="864"/>
      <c r="F15" s="864"/>
    </row>
    <row r="16" spans="1:6" s="183" customFormat="1" ht="12" customHeight="1" x14ac:dyDescent="0.2">
      <c r="A16" s="11" t="s">
        <v>765</v>
      </c>
      <c r="B16" s="185" t="s">
        <v>768</v>
      </c>
      <c r="C16" s="290">
        <f t="shared" si="0"/>
        <v>203397675</v>
      </c>
      <c r="D16" s="864">
        <f>126258794+1334340+75804541</f>
        <v>203397675</v>
      </c>
      <c r="E16" s="864"/>
      <c r="F16" s="864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5">
        <f>40888120+1420296</f>
        <v>42308416</v>
      </c>
      <c r="E17" s="864"/>
      <c r="F17" s="864"/>
    </row>
    <row r="18" spans="1:8" s="183" customFormat="1" ht="12" customHeight="1" x14ac:dyDescent="0.2">
      <c r="A18" s="11" t="s">
        <v>112</v>
      </c>
      <c r="B18" s="108" t="s">
        <v>394</v>
      </c>
      <c r="C18" s="846">
        <f t="shared" si="0"/>
        <v>202586020</v>
      </c>
      <c r="D18" s="865">
        <f>234271694+107725-21793399-60000000+50000000</f>
        <v>202586020</v>
      </c>
      <c r="E18" s="864"/>
      <c r="F18" s="864"/>
    </row>
    <row r="19" spans="1:8" s="183" customFormat="1" ht="12" customHeight="1" thickBot="1" x14ac:dyDescent="0.25">
      <c r="A19" s="13" t="s">
        <v>90</v>
      </c>
      <c r="B19" s="109" t="s">
        <v>395</v>
      </c>
      <c r="C19" s="850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90208366</v>
      </c>
      <c r="D20" s="267">
        <f>+D21+D22+D23+D24+D25</f>
        <v>90208366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846">
        <f t="shared" si="0"/>
        <v>90208366</v>
      </c>
      <c r="D25" s="865">
        <f>124208366+16000000-50000000</f>
        <v>90208366</v>
      </c>
      <c r="E25" s="864"/>
      <c r="F25" s="864"/>
    </row>
    <row r="26" spans="1:8" s="183" customFormat="1" ht="12" customHeight="1" thickBot="1" x14ac:dyDescent="0.25">
      <c r="A26" s="13" t="s">
        <v>105</v>
      </c>
      <c r="B26" s="109" t="s">
        <v>190</v>
      </c>
      <c r="C26" s="850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1232491411</v>
      </c>
      <c r="D27" s="267">
        <f>+D28+D29+D30+D31+D32</f>
        <v>1232491411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289">
        <f t="shared" si="0"/>
        <v>1205000000</v>
      </c>
      <c r="D28" s="867">
        <v>1205000000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5"/>
      <c r="E29" s="864"/>
      <c r="F29" s="864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5"/>
      <c r="E30" s="864"/>
      <c r="F30" s="864"/>
      <c r="H30" s="952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5"/>
      <c r="E31" s="864"/>
      <c r="F31" s="864"/>
    </row>
    <row r="32" spans="1:8" s="183" customFormat="1" ht="12" customHeight="1" x14ac:dyDescent="0.2">
      <c r="A32" s="11" t="s">
        <v>123</v>
      </c>
      <c r="B32" s="185" t="s">
        <v>194</v>
      </c>
      <c r="C32" s="846">
        <f t="shared" si="0"/>
        <v>27491411</v>
      </c>
      <c r="D32" s="865">
        <f>27379073+112338</f>
        <v>27491411</v>
      </c>
      <c r="E32" s="864"/>
      <c r="F32" s="864"/>
    </row>
    <row r="33" spans="1:6" s="183" customFormat="1" ht="12" customHeight="1" thickBot="1" x14ac:dyDescent="0.25">
      <c r="A33" s="13" t="s">
        <v>124</v>
      </c>
      <c r="B33" s="186" t="s">
        <v>195</v>
      </c>
      <c r="C33" s="850">
        <f t="shared" si="0"/>
        <v>27379073</v>
      </c>
      <c r="D33" s="866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5"/>
      <c r="E38" s="864"/>
      <c r="F38" s="864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6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150679220</v>
      </c>
      <c r="D41" s="267">
        <f>SUM(D42:D52)</f>
        <v>40646096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7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290">
        <f t="shared" si="0"/>
        <v>63694880</v>
      </c>
      <c r="D43" s="865">
        <f>15786984-3004139</f>
        <v>12782845</v>
      </c>
      <c r="E43" s="864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5">
        <f>9686744+10000+383507</f>
        <v>10080251</v>
      </c>
      <c r="E44" s="864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846">
        <f t="shared" si="0"/>
        <v>6822173</v>
      </c>
      <c r="D45" s="865">
        <f>3743473+3078700</f>
        <v>6822173</v>
      </c>
      <c r="E45" s="864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5"/>
      <c r="E46" s="864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5">
        <f>8159787+322263</f>
        <v>8482050</v>
      </c>
      <c r="E47" s="864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5"/>
      <c r="E48" s="864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5"/>
      <c r="E49" s="864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5"/>
      <c r="E50" s="864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6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50">
        <f t="shared" si="0"/>
        <v>1481777</v>
      </c>
      <c r="D52" s="866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7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5">
        <v>63000000</v>
      </c>
      <c r="E55" s="864"/>
      <c r="F55" s="864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5"/>
      <c r="E56" s="864"/>
      <c r="F56" s="864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5"/>
      <c r="E57" s="864"/>
      <c r="F57" s="864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6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5"/>
      <c r="E61" s="864"/>
      <c r="F61" s="864"/>
    </row>
    <row r="62" spans="1:6" s="183" customFormat="1" ht="12" customHeight="1" x14ac:dyDescent="0.2">
      <c r="A62" s="11" t="s">
        <v>232</v>
      </c>
      <c r="B62" s="185" t="s">
        <v>230</v>
      </c>
      <c r="C62" s="846">
        <f t="shared" si="0"/>
        <v>10274000</v>
      </c>
      <c r="D62" s="865">
        <f>1000000-726000+10000000</f>
        <v>10274000</v>
      </c>
      <c r="E62" s="864"/>
      <c r="F62" s="864"/>
    </row>
    <row r="63" spans="1:6" s="183" customFormat="1" ht="12" customHeight="1" thickBot="1" x14ac:dyDescent="0.25">
      <c r="A63" s="13" t="s">
        <v>233</v>
      </c>
      <c r="B63" s="109" t="s">
        <v>231</v>
      </c>
      <c r="C63" s="850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5"/>
      <c r="E65" s="864"/>
      <c r="F65" s="864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5"/>
      <c r="E66" s="864"/>
      <c r="F66" s="864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5">
        <f>200000+50000</f>
        <v>250000</v>
      </c>
      <c r="E67" s="864"/>
      <c r="F67" s="864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5"/>
      <c r="E68" s="864"/>
      <c r="F68" s="864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3290771414</v>
      </c>
      <c r="D69" s="270">
        <f>+D11+D20+D27+D34+D41+D53+D59+D64</f>
        <v>3180738290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868562529</v>
      </c>
      <c r="D70" s="267">
        <f>SUM(D71:D73)</f>
        <v>868562529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18562529</v>
      </c>
      <c r="D71" s="865">
        <f>11503705+7058824</f>
        <v>18562529</v>
      </c>
      <c r="E71" s="864"/>
      <c r="F71" s="864"/>
    </row>
    <row r="72" spans="1:6" s="183" customFormat="1" ht="12" customHeight="1" x14ac:dyDescent="0.2">
      <c r="A72" s="11" t="s">
        <v>281</v>
      </c>
      <c r="B72" s="185" t="s">
        <v>243</v>
      </c>
      <c r="C72" s="290">
        <f t="shared" si="0"/>
        <v>850000000</v>
      </c>
      <c r="D72" s="865">
        <v>850000000</v>
      </c>
      <c r="E72" s="864"/>
      <c r="F72" s="864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5"/>
      <c r="E73" s="864"/>
      <c r="F73" s="864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5"/>
      <c r="E75" s="864"/>
      <c r="F75" s="864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5"/>
      <c r="E76" s="864"/>
      <c r="F76" s="864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5"/>
      <c r="E77" s="864"/>
      <c r="F77" s="864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5"/>
      <c r="E78" s="864"/>
      <c r="F78" s="864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5">
        <v>847491815</v>
      </c>
      <c r="E80" s="864">
        <v>216699</v>
      </c>
      <c r="F80" s="864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5"/>
      <c r="E81" s="864"/>
      <c r="F81" s="864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5">
        <v>48966750</v>
      </c>
      <c r="E83" s="864"/>
      <c r="F83" s="864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5"/>
      <c r="E84" s="864"/>
      <c r="F84" s="864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5"/>
      <c r="E85" s="864"/>
      <c r="F85" s="864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5"/>
      <c r="E87" s="864"/>
      <c r="F87" s="864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5"/>
      <c r="E88" s="864"/>
      <c r="F88" s="864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5"/>
      <c r="E89" s="864"/>
      <c r="F89" s="864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5"/>
      <c r="E90" s="864"/>
      <c r="F90" s="864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1771765476</v>
      </c>
      <c r="D93" s="270">
        <f>+D70+D74+D79+D82+D86+D92+D91</f>
        <v>1765021094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5062536890</v>
      </c>
      <c r="D94" s="270">
        <f>+D69+D93</f>
        <v>4945759384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36" t="s">
        <v>44</v>
      </c>
      <c r="B95" s="1436"/>
      <c r="C95" s="1436"/>
      <c r="D95" s="170"/>
      <c r="E95" s="170"/>
      <c r="F95" s="814"/>
    </row>
    <row r="96" spans="1:6" s="193" customFormat="1" ht="16.5" customHeight="1" thickBot="1" x14ac:dyDescent="0.3">
      <c r="A96" s="1437" t="s">
        <v>116</v>
      </c>
      <c r="B96" s="1437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14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1856053129</v>
      </c>
      <c r="D99" s="275">
        <f>+D100+D101+D102+D103+D104+D117</f>
        <v>845324042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1184">
        <f t="shared" si="3"/>
        <v>591147981</v>
      </c>
      <c r="D100" s="285">
        <f>44363489-6630792+1037700-20730155-8272054+839690</f>
        <v>10607878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846">
        <f t="shared" si="3"/>
        <v>98656715</v>
      </c>
      <c r="D101" s="256">
        <f>6548579-1030563+160844-3141046-1562315+102025</f>
        <v>1077524</v>
      </c>
      <c r="E101" s="116">
        <v>1117901</v>
      </c>
      <c r="F101" s="864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6">
        <f t="shared" si="3"/>
        <v>778795885</v>
      </c>
      <c r="D102" s="259">
        <f>317246579+107725-3431322+10000-5100000+131465820+5923613</f>
        <v>446222415</v>
      </c>
      <c r="E102" s="173">
        <v>5246895</v>
      </c>
      <c r="F102" s="864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290">
        <f t="shared" si="3"/>
        <v>56500000</v>
      </c>
      <c r="D103" s="259">
        <v>56500000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234584837</v>
      </c>
      <c r="D104" s="259">
        <f>SUM(D105:D116)</f>
        <v>234548514</v>
      </c>
      <c r="E104" s="259">
        <f>SUM(E105:E116)</f>
        <v>0</v>
      </c>
      <c r="F104" s="866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846">
        <f t="shared" si="3"/>
        <v>192102686</v>
      </c>
      <c r="D116" s="256">
        <f>165591867+14963117-2244235+10664415+690537+2436985</f>
        <v>192102686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96367711</v>
      </c>
      <c r="D117" s="256">
        <f>SUM(D118:D119)</f>
        <v>96367711</v>
      </c>
      <c r="E117" s="116"/>
      <c r="F117" s="864"/>
    </row>
    <row r="118" spans="1:6" ht="12" customHeight="1" x14ac:dyDescent="0.25">
      <c r="A118" s="11" t="s">
        <v>411</v>
      </c>
      <c r="B118" s="5" t="s">
        <v>412</v>
      </c>
      <c r="C118" s="846">
        <f t="shared" si="3"/>
        <v>14805483</v>
      </c>
      <c r="D118" s="866">
        <f>10000000-8622933+2854876-254000-2206257+540000+13433386-939589</f>
        <v>14805483</v>
      </c>
      <c r="E118" s="173"/>
      <c r="F118" s="864"/>
    </row>
    <row r="119" spans="1:6" ht="12" customHeight="1" thickBot="1" x14ac:dyDescent="0.3">
      <c r="A119" s="15" t="s">
        <v>413</v>
      </c>
      <c r="B119" s="247" t="s">
        <v>414</v>
      </c>
      <c r="C119" s="846">
        <f t="shared" si="3"/>
        <v>81562228</v>
      </c>
      <c r="D119" s="286">
        <f>99315612+4715+7058824-10000000-346499-540000-13770424-160000</f>
        <v>81562228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1915488396</v>
      </c>
      <c r="D120" s="267">
        <f>+D121+D123+D125</f>
        <v>1910061984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1184">
        <f>SUM(D121:F121)</f>
        <v>319764040</v>
      </c>
      <c r="D121" s="271">
        <f>438159730+200000+50000+1201000+254000+2425-141638515+16426488</f>
        <v>314655128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1184">
        <f t="shared" si="3"/>
        <v>260190536</v>
      </c>
      <c r="D122" s="867">
        <f>401925076+2425-142138515+401550</f>
        <v>260190536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1184">
        <f t="shared" si="3"/>
        <v>1589812550</v>
      </c>
      <c r="D123" s="256">
        <f>357345208-317500+537576+1243527941-11598175</f>
        <v>1589495050</v>
      </c>
      <c r="E123" s="116"/>
      <c r="F123" s="864">
        <v>317500</v>
      </c>
    </row>
    <row r="124" spans="1:6" ht="12" customHeight="1" x14ac:dyDescent="0.25">
      <c r="A124" s="12" t="s">
        <v>95</v>
      </c>
      <c r="B124" s="9" t="s">
        <v>300</v>
      </c>
      <c r="C124" s="1184">
        <f t="shared" si="3"/>
        <v>390701940</v>
      </c>
      <c r="D124" s="256">
        <f>80032238+2424+210655116-2424+101702816-1688230</f>
        <v>390701940</v>
      </c>
      <c r="E124" s="508"/>
      <c r="F124" s="865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5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5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5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5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5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5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5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5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6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3771541525</v>
      </c>
      <c r="D134" s="267">
        <f>+D99+D120</f>
        <v>2755386026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873325747</v>
      </c>
      <c r="D135" s="267">
        <f>+D136+D137+D138</f>
        <v>873325747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5"/>
    </row>
    <row r="137" spans="1:6" ht="12" customHeight="1" x14ac:dyDescent="0.25">
      <c r="A137" s="12" t="s">
        <v>200</v>
      </c>
      <c r="B137" s="9" t="s">
        <v>418</v>
      </c>
      <c r="C137" s="290">
        <f t="shared" si="3"/>
        <v>850000000</v>
      </c>
      <c r="D137" s="101">
        <v>850000000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40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41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41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922292497</v>
      </c>
      <c r="D159" s="278">
        <f>+D135+D139+D146+D151+D157+D158</f>
        <v>922292497</v>
      </c>
      <c r="E159" s="194">
        <f>+E135+E139+E146+E151+E157+E158</f>
        <v>0</v>
      </c>
      <c r="F159" s="1142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4693834022</v>
      </c>
      <c r="D160" s="278">
        <f>+D134+D159</f>
        <v>3677678523</v>
      </c>
      <c r="E160" s="194">
        <f>+E134+E159</f>
        <v>14379609</v>
      </c>
      <c r="F160" s="1142">
        <f>+F134+F159</f>
        <v>1001775890</v>
      </c>
    </row>
    <row r="161" spans="1:6" x14ac:dyDescent="0.25">
      <c r="A161" s="1438" t="s">
        <v>308</v>
      </c>
      <c r="B161" s="1438"/>
      <c r="C161" s="1438"/>
    </row>
    <row r="162" spans="1:6" ht="9.75" customHeight="1" thickBot="1" x14ac:dyDescent="0.3">
      <c r="A162" s="1435" t="s">
        <v>117</v>
      </c>
      <c r="B162" s="1435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-480770111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849472979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A3" sqref="A3:C3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5" t="str">
        <f>CONCATENATE("20. melléklet"," ",ALAPADATOK!A7," ",ALAPADATOK!B7," ",ALAPADATOK!C7," ",ALAPADATOK!D7," ",ALAPADATOK!E7," ",ALAPADATOK!F7," ",ALAPADATOK!G7," ",ALAPADATOK!H7)</f>
        <v>20. melléklet a 15 / 2021. ( IX.30. ) önkormányzati rendelethez</v>
      </c>
      <c r="B1" s="1485"/>
      <c r="C1" s="1485"/>
    </row>
    <row r="2" spans="1:6" s="77" customFormat="1" ht="21" customHeight="1" x14ac:dyDescent="0.2">
      <c r="A2" s="76"/>
      <c r="B2" s="78"/>
      <c r="C2" s="968"/>
    </row>
    <row r="3" spans="1:6" s="217" customFormat="1" ht="33" customHeight="1" thickBot="1" x14ac:dyDescent="0.25">
      <c r="A3" s="1445" t="s">
        <v>1040</v>
      </c>
      <c r="B3" s="1445"/>
      <c r="C3" s="1445"/>
      <c r="E3" s="497"/>
      <c r="F3" s="497"/>
    </row>
    <row r="4" spans="1:6" ht="13.5" thickBot="1" x14ac:dyDescent="0.25">
      <c r="A4" s="1327" t="s">
        <v>154</v>
      </c>
      <c r="B4" s="81" t="s">
        <v>50</v>
      </c>
      <c r="C4" s="330" t="s">
        <v>1033</v>
      </c>
      <c r="E4" s="798"/>
      <c r="F4" s="798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8">
        <f>+C7+C19+C24+C25+C30+C34+C35</f>
        <v>8471206</v>
      </c>
    </row>
    <row r="37" spans="1:3" s="168" customFormat="1" ht="12" customHeight="1" thickBot="1" x14ac:dyDescent="0.25">
      <c r="A37" s="969" t="s">
        <v>24</v>
      </c>
      <c r="B37" s="54" t="s">
        <v>342</v>
      </c>
      <c r="C37" s="858">
        <f>+C38+C39+C40</f>
        <v>335339713</v>
      </c>
    </row>
    <row r="38" spans="1:3" s="168" customFormat="1" ht="12" customHeight="1" x14ac:dyDescent="0.2">
      <c r="A38" s="213" t="s">
        <v>343</v>
      </c>
      <c r="B38" s="214" t="s">
        <v>168</v>
      </c>
      <c r="C38" s="854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6">
        <f>335938966-2631637-1951101+2722139</f>
        <v>334078367</v>
      </c>
    </row>
    <row r="41" spans="1:3" s="220" customFormat="1" ht="15" customHeight="1" thickBot="1" x14ac:dyDescent="0.25">
      <c r="A41" s="969" t="s">
        <v>25</v>
      </c>
      <c r="B41" s="970" t="s">
        <v>347</v>
      </c>
      <c r="C41" s="581">
        <f>+C36+C37</f>
        <v>343810919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343010919</v>
      </c>
    </row>
    <row r="44" spans="1:3" ht="12" customHeight="1" x14ac:dyDescent="0.2">
      <c r="A44" s="212" t="s">
        <v>86</v>
      </c>
      <c r="B44" s="6" t="s">
        <v>46</v>
      </c>
      <c r="C44" s="859">
        <f>218334179-1760664+18000+64010+2356830+263273</f>
        <v>219275628</v>
      </c>
    </row>
    <row r="45" spans="1:3" ht="12" customHeight="1" x14ac:dyDescent="0.2">
      <c r="A45" s="212" t="s">
        <v>87</v>
      </c>
      <c r="B45" s="5" t="s">
        <v>135</v>
      </c>
      <c r="C45" s="860">
        <f>38909967-272903+35990+365309+36727</f>
        <v>39075090</v>
      </c>
    </row>
    <row r="46" spans="1:3" ht="12" customHeight="1" x14ac:dyDescent="0.2">
      <c r="A46" s="212" t="s">
        <v>88</v>
      </c>
      <c r="B46" s="5" t="s">
        <v>111</v>
      </c>
      <c r="C46" s="860">
        <f>87035872-280570+256000-1951101-100000-300000</f>
        <v>84660201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343810919</v>
      </c>
    </row>
    <row r="56" spans="1:3" ht="13.5" thickBot="1" x14ac:dyDescent="0.25">
      <c r="A56" s="1480" t="s">
        <v>465</v>
      </c>
      <c r="B56" s="1481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17" sqref="B17"/>
    </sheetView>
  </sheetViews>
  <sheetFormatPr defaultRowHeight="12.75" x14ac:dyDescent="0.2"/>
  <cols>
    <col min="1" max="1" width="13.83203125" style="827" customWidth="1"/>
    <col min="2" max="2" width="79.1640625" style="827" customWidth="1"/>
    <col min="3" max="3" width="25" style="827" customWidth="1"/>
    <col min="4" max="16384" width="9.33203125" style="827"/>
  </cols>
  <sheetData>
    <row r="1" spans="1:3" x14ac:dyDescent="0.2">
      <c r="A1" s="1485" t="str">
        <f>CONCATENATE("9.3.2. melléklet"," ",ALAPADATOK!A7," ",ALAPADATOK!B7," ",ALAPADATOK!C7," ",ALAPADATOK!D7," ",ALAPADATOK!E7," ",ALAPADATOK!F7," ",ALAPADATOK!G7," ",ALAPADATOK!H7)</f>
        <v>9.3.2. melléklet a 15 / 2021. ( IX.30. ) önkormányzati rendelethez</v>
      </c>
      <c r="B1" s="1485"/>
      <c r="C1" s="1485"/>
    </row>
    <row r="2" spans="1:3" ht="16.5" thickBot="1" x14ac:dyDescent="0.25">
      <c r="A2" s="76"/>
      <c r="B2" s="78"/>
      <c r="C2" s="971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7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5"/>
    </row>
    <row r="12" spans="1:3" x14ac:dyDescent="0.2">
      <c r="A12" s="212" t="s">
        <v>88</v>
      </c>
      <c r="B12" s="5" t="s">
        <v>211</v>
      </c>
      <c r="C12" s="855"/>
    </row>
    <row r="13" spans="1:3" x14ac:dyDescent="0.2">
      <c r="A13" s="212" t="s">
        <v>89</v>
      </c>
      <c r="B13" s="5" t="s">
        <v>212</v>
      </c>
      <c r="C13" s="855"/>
    </row>
    <row r="14" spans="1:3" x14ac:dyDescent="0.2">
      <c r="A14" s="212" t="s">
        <v>112</v>
      </c>
      <c r="B14" s="5" t="s">
        <v>213</v>
      </c>
      <c r="C14" s="855"/>
    </row>
    <row r="15" spans="1:3" x14ac:dyDescent="0.2">
      <c r="A15" s="212" t="s">
        <v>90</v>
      </c>
      <c r="B15" s="5" t="s">
        <v>333</v>
      </c>
      <c r="C15" s="855"/>
    </row>
    <row r="16" spans="1:3" x14ac:dyDescent="0.2">
      <c r="A16" s="212" t="s">
        <v>91</v>
      </c>
      <c r="B16" s="4" t="s">
        <v>334</v>
      </c>
      <c r="C16" s="855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5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7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5"/>
    </row>
    <row r="24" spans="1:3" x14ac:dyDescent="0.2">
      <c r="A24" s="212" t="s">
        <v>94</v>
      </c>
      <c r="B24" s="5" t="s">
        <v>337</v>
      </c>
      <c r="C24" s="860"/>
    </row>
    <row r="25" spans="1:3" ht="13.5" thickBot="1" x14ac:dyDescent="0.25">
      <c r="A25" s="212" t="s">
        <v>95</v>
      </c>
      <c r="B25" s="5" t="s">
        <v>468</v>
      </c>
      <c r="C25" s="855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7">
        <f>+C28+C29+C30</f>
        <v>0</v>
      </c>
    </row>
    <row r="28" spans="1:3" x14ac:dyDescent="0.2">
      <c r="A28" s="213" t="s">
        <v>197</v>
      </c>
      <c r="B28" s="214" t="s">
        <v>192</v>
      </c>
      <c r="C28" s="854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6"/>
    </row>
    <row r="32" spans="1:3" ht="13.5" thickBot="1" x14ac:dyDescent="0.25">
      <c r="A32" s="74" t="s">
        <v>20</v>
      </c>
      <c r="B32" s="54" t="s">
        <v>339</v>
      </c>
      <c r="C32" s="857">
        <f>+C33+C34+C35</f>
        <v>0</v>
      </c>
    </row>
    <row r="33" spans="1:3" x14ac:dyDescent="0.2">
      <c r="A33" s="213" t="s">
        <v>79</v>
      </c>
      <c r="B33" s="214" t="s">
        <v>223</v>
      </c>
      <c r="C33" s="854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6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8">
        <f>+C9+C21+C26+C27+C32+C36+C37</f>
        <v>0</v>
      </c>
    </row>
    <row r="39" spans="1:3" ht="13.5" thickBot="1" x14ac:dyDescent="0.25">
      <c r="A39" s="969" t="s">
        <v>24</v>
      </c>
      <c r="B39" s="54" t="s">
        <v>342</v>
      </c>
      <c r="C39" s="858">
        <f>+C40+C41+C42</f>
        <v>0</v>
      </c>
    </row>
    <row r="40" spans="1:3" x14ac:dyDescent="0.2">
      <c r="A40" s="213" t="s">
        <v>343</v>
      </c>
      <c r="B40" s="214" t="s">
        <v>168</v>
      </c>
      <c r="C40" s="854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6"/>
    </row>
    <row r="43" spans="1:3" ht="13.5" thickBot="1" x14ac:dyDescent="0.25">
      <c r="A43" s="969" t="s">
        <v>25</v>
      </c>
      <c r="B43" s="970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7">
        <f>SUM(C48:C52)</f>
        <v>0</v>
      </c>
    </row>
    <row r="48" spans="1:3" x14ac:dyDescent="0.2">
      <c r="A48" s="212" t="s">
        <v>86</v>
      </c>
      <c r="B48" s="6" t="s">
        <v>46</v>
      </c>
      <c r="C48" s="859"/>
    </row>
    <row r="49" spans="1:3" x14ac:dyDescent="0.2">
      <c r="A49" s="212" t="s">
        <v>87</v>
      </c>
      <c r="B49" s="5" t="s">
        <v>135</v>
      </c>
      <c r="C49" s="860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5"/>
    </row>
    <row r="52" spans="1:3" ht="13.5" thickBot="1" x14ac:dyDescent="0.25">
      <c r="A52" s="212" t="s">
        <v>112</v>
      </c>
      <c r="B52" s="5" t="s">
        <v>137</v>
      </c>
      <c r="C52" s="855"/>
    </row>
    <row r="53" spans="1:3" ht="13.5" thickBot="1" x14ac:dyDescent="0.25">
      <c r="A53" s="74" t="s">
        <v>17</v>
      </c>
      <c r="B53" s="54" t="s">
        <v>349</v>
      </c>
      <c r="C53" s="857">
        <f>SUM(C54:C56)</f>
        <v>0</v>
      </c>
    </row>
    <row r="54" spans="1:3" x14ac:dyDescent="0.2">
      <c r="A54" s="212" t="s">
        <v>92</v>
      </c>
      <c r="B54" s="6" t="s">
        <v>159</v>
      </c>
      <c r="C54" s="859"/>
    </row>
    <row r="55" spans="1:3" x14ac:dyDescent="0.2">
      <c r="A55" s="212" t="s">
        <v>93</v>
      </c>
      <c r="B55" s="5" t="s">
        <v>139</v>
      </c>
      <c r="C55" s="855"/>
    </row>
    <row r="56" spans="1:3" x14ac:dyDescent="0.2">
      <c r="A56" s="212" t="s">
        <v>94</v>
      </c>
      <c r="B56" s="5" t="s">
        <v>54</v>
      </c>
      <c r="C56" s="855"/>
    </row>
    <row r="57" spans="1:3" ht="13.5" thickBot="1" x14ac:dyDescent="0.25">
      <c r="A57" s="212" t="s">
        <v>95</v>
      </c>
      <c r="B57" s="5" t="s">
        <v>471</v>
      </c>
      <c r="C57" s="855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5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A3" sqref="A3:C3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hidden="1" customWidth="1"/>
    <col min="5" max="5" width="11.83203125" style="798" hidden="1" customWidth="1"/>
    <col min="6" max="6" width="12.6640625" style="798" hidden="1" customWidth="1"/>
    <col min="7" max="7" width="9.33203125" style="775" customWidth="1"/>
    <col min="8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16" ht="12.75" customHeight="1" x14ac:dyDescent="0.2">
      <c r="A1" s="1485" t="str">
        <f>CONCATENATE("21. melléklet"," ",ALAPADATOK!A7," ",ALAPADATOK!B7," ",ALAPADATOK!C7," ",ALAPADATOK!D7," ",ALAPADATOK!E7," ",ALAPADATOK!F7," ",ALAPADATOK!G7," ",ALAPADATOK!H7)</f>
        <v>21. melléklet a 15 / 2021. ( IX.30. ) önkormányzati rendelethez</v>
      </c>
      <c r="B1" s="1485"/>
      <c r="C1" s="1485"/>
    </row>
    <row r="2" spans="1:16" s="77" customFormat="1" ht="21" customHeight="1" x14ac:dyDescent="0.2">
      <c r="A2" s="76"/>
      <c r="B2" s="78"/>
      <c r="C2" s="968"/>
      <c r="E2" s="798"/>
      <c r="F2" s="798"/>
    </row>
    <row r="3" spans="1:16" s="217" customFormat="1" ht="36" customHeight="1" thickBot="1" x14ac:dyDescent="0.25">
      <c r="A3" s="1445" t="s">
        <v>1077</v>
      </c>
      <c r="B3" s="1445"/>
      <c r="C3" s="1445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13517834</v>
      </c>
      <c r="E7" s="499">
        <f>'9.4.1. sz. mell EKIK'!C7+'9.4.2. sz. mell EKIK'!C7</f>
        <v>13517834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429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571">
        <v>11296835</v>
      </c>
      <c r="E9" s="499">
        <f>'9.4.1. sz. mell EKIK'!C9+'9.4.2. sz. mell EKIK'!C9</f>
        <v>11296835</v>
      </c>
      <c r="F9" s="499">
        <f t="shared" si="0"/>
        <v>0</v>
      </c>
      <c r="K9" s="217"/>
      <c r="L9" s="217"/>
      <c r="M9" s="1429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5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'9.4.1. sz. mell EKIK'!C18+'9.4.2. sz. mell EKIK'!C18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60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75099871</v>
      </c>
      <c r="E36" s="499">
        <f>'9.4.1. sz. mell EKIK'!C36+'9.4.2. sz. mell EKIK'!C36</f>
        <v>75099871</v>
      </c>
      <c r="F36" s="499">
        <f t="shared" si="0"/>
        <v>0</v>
      </c>
    </row>
    <row r="37" spans="1:6" s="168" customFormat="1" ht="12" customHeight="1" thickBot="1" x14ac:dyDescent="0.25">
      <c r="A37" s="969" t="s">
        <v>24</v>
      </c>
      <c r="B37" s="54" t="s">
        <v>342</v>
      </c>
      <c r="C37" s="580">
        <f>+C38+C39+C40</f>
        <v>111129373</v>
      </c>
      <c r="E37" s="499">
        <f>'9.4.1. sz. mell EKIK'!C37+'9.4.2. sz. mell EKIK'!C37</f>
        <v>111129373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81">
        <f>111328704-2185107+1201000+1198544-697865+1</f>
        <v>110845277</v>
      </c>
      <c r="E40" s="499">
        <f>'9.4.1. sz. mell EKIK'!C40+'9.4.2. sz. mell EKIK'!C40</f>
        <v>110845277</v>
      </c>
      <c r="F40" s="499">
        <f t="shared" si="0"/>
        <v>0</v>
      </c>
    </row>
    <row r="41" spans="1:6" s="220" customFormat="1" ht="15" customHeight="1" thickBot="1" x14ac:dyDescent="0.25">
      <c r="A41" s="969" t="s">
        <v>25</v>
      </c>
      <c r="B41" s="970" t="s">
        <v>347</v>
      </c>
      <c r="C41" s="581">
        <f>+C36+C37</f>
        <v>186229244</v>
      </c>
      <c r="E41" s="499">
        <f>'9.4.1. sz. mell EKIK'!C41+'9.4.2. sz. mell EKIK'!C41</f>
        <v>186229244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82" t="s">
        <v>53</v>
      </c>
      <c r="B44" s="1483"/>
      <c r="C44" s="1484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125343376</v>
      </c>
      <c r="E45" s="499">
        <f>'9.4.1. sz. mell EKIK'!C45+'9.4.2. sz. mell EKIK'!C45</f>
        <v>125343376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54">
        <f>56715808-1383600+1037700</f>
        <v>56369908</v>
      </c>
      <c r="E46" s="499">
        <f>'9.4.1. sz. mell EKIK'!C46+'9.4.2. sz. mell EKIK'!C46</f>
        <v>56369908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5">
        <f>9106816-214458+160844</f>
        <v>9053202</v>
      </c>
      <c r="E47" s="499">
        <f>'9.4.1. sz. mell EKIK'!C47+'9.4.2. sz. mell EKIK'!C47</f>
        <v>9053202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60">
        <f>61195180-587049+10000-697865</f>
        <v>59920266</v>
      </c>
      <c r="E48" s="499">
        <f>'9.4.1. sz. mell EKIK'!C48+'9.4.2. sz. mell EKIK'!C48</f>
        <v>59920266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571"/>
      <c r="E50" s="499">
        <f>'9.4.1. sz. mell EKIK'!C50+'9.4.2. sz. mell EKIK'!C50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60885868</v>
      </c>
      <c r="E51" s="499">
        <f>'9.4.1. sz. mell EKIK'!C51+'9.4.2. sz. mell EKIK'!C51</f>
        <v>60885868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59">
        <f>58071807+1201000+112339</f>
        <v>59385146</v>
      </c>
      <c r="E52" s="499">
        <f>'9.4.1. sz. mell EKIK'!C52+'9.4.2. sz. mell EKIK'!C52</f>
        <v>59385146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571">
        <v>1500722</v>
      </c>
      <c r="E53" s="499">
        <f>'9.4.1. sz. mell EKIK'!C53+'9.4.2. sz. mell EKIK'!C53</f>
        <v>1500722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186229244</v>
      </c>
      <c r="E57" s="499">
        <f>'9.4.1. sz. mell EKIK'!C57+'9.4.2. sz. mell EKIK'!C57</f>
        <v>186229244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88" t="s">
        <v>465</v>
      </c>
      <c r="B59" s="1489"/>
      <c r="C59" s="1241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86" t="s">
        <v>952</v>
      </c>
      <c r="B60" s="1487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I11" sqref="I11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5" t="str">
        <f>CONCATENATE("22. melléklet"," ",ALAPADATOK!A7," ",ALAPADATOK!B7," ",ALAPADATOK!C7," ",ALAPADATOK!D7," ",ALAPADATOK!E7," ",ALAPADATOK!F7," ",ALAPADATOK!G7," ",ALAPADATOK!H7)</f>
        <v>22. melléklet a 15 / 2021. ( IX.30. ) önkormányzati rendelethez</v>
      </c>
      <c r="B1" s="1485"/>
      <c r="C1" s="1485"/>
    </row>
    <row r="2" spans="1:3" s="77" customFormat="1" ht="21" customHeight="1" x14ac:dyDescent="0.2">
      <c r="A2" s="76"/>
      <c r="B2" s="78"/>
      <c r="C2" s="968"/>
    </row>
    <row r="3" spans="1:3" s="217" customFormat="1" ht="33" customHeight="1" thickBot="1" x14ac:dyDescent="0.25">
      <c r="A3" s="1445" t="s">
        <v>1078</v>
      </c>
      <c r="B3" s="1445"/>
      <c r="C3" s="1445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12362850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10387400</v>
      </c>
    </row>
    <row r="10" spans="1:3" s="168" customFormat="1" ht="12" customHeight="1" x14ac:dyDescent="0.2">
      <c r="A10" s="212" t="s">
        <v>88</v>
      </c>
      <c r="B10" s="5" t="s">
        <v>211</v>
      </c>
      <c r="C10" s="855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60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12475188</v>
      </c>
    </row>
    <row r="37" spans="1:3" s="168" customFormat="1" ht="12" customHeight="1" thickBot="1" x14ac:dyDescent="0.25">
      <c r="A37" s="969" t="s">
        <v>24</v>
      </c>
      <c r="B37" s="54" t="s">
        <v>342</v>
      </c>
      <c r="C37" s="580">
        <f>+C38+C39+C40</f>
        <v>104634405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99">
        <f>104833737-2185107+1201000+1198544-697865</f>
        <v>104350309</v>
      </c>
    </row>
    <row r="41" spans="1:3" s="220" customFormat="1" ht="15" customHeight="1" thickBot="1" x14ac:dyDescent="0.25">
      <c r="A41" s="969" t="s">
        <v>25</v>
      </c>
      <c r="B41" s="970" t="s">
        <v>347</v>
      </c>
      <c r="C41" s="581">
        <f>+C36+C37</f>
        <v>117109593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82" t="s">
        <v>53</v>
      </c>
      <c r="B44" s="1483"/>
      <c r="C44" s="1484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112656293</v>
      </c>
    </row>
    <row r="46" spans="1:3" ht="12" customHeight="1" x14ac:dyDescent="0.2">
      <c r="A46" s="212" t="s">
        <v>86</v>
      </c>
      <c r="B46" s="6" t="s">
        <v>46</v>
      </c>
      <c r="C46" s="854">
        <f>56250808-1383600+1037700</f>
        <v>55904908</v>
      </c>
    </row>
    <row r="47" spans="1:3" ht="12" customHeight="1" x14ac:dyDescent="0.2">
      <c r="A47" s="212" t="s">
        <v>87</v>
      </c>
      <c r="B47" s="5" t="s">
        <v>135</v>
      </c>
      <c r="C47" s="855">
        <f>8981266-214458+160844</f>
        <v>8927652</v>
      </c>
    </row>
    <row r="48" spans="1:3" ht="12" customHeight="1" x14ac:dyDescent="0.2">
      <c r="A48" s="212" t="s">
        <v>88</v>
      </c>
      <c r="B48" s="5" t="s">
        <v>111</v>
      </c>
      <c r="C48" s="860">
        <f>49098647-587049+10000-697865</f>
        <v>47823733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571"/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4453300</v>
      </c>
    </row>
    <row r="52" spans="1:6" ht="12" customHeight="1" x14ac:dyDescent="0.2">
      <c r="A52" s="212" t="s">
        <v>92</v>
      </c>
      <c r="B52" s="6" t="s">
        <v>159</v>
      </c>
      <c r="C52" s="859">
        <f>3139962+1201000+112338</f>
        <v>4453300</v>
      </c>
    </row>
    <row r="53" spans="1:6" ht="12" customHeight="1" x14ac:dyDescent="0.2">
      <c r="A53" s="212" t="s">
        <v>93</v>
      </c>
      <c r="B53" s="5" t="s">
        <v>139</v>
      </c>
      <c r="C53" s="1200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117109593</v>
      </c>
    </row>
    <row r="58" spans="1:6" ht="14.25" customHeight="1" thickBot="1" x14ac:dyDescent="0.25">
      <c r="C58" s="585"/>
    </row>
    <row r="59" spans="1:6" x14ac:dyDescent="0.2">
      <c r="A59" s="1488" t="s">
        <v>465</v>
      </c>
      <c r="B59" s="1489"/>
      <c r="C59" s="1241">
        <f>19.75-0.5+0.4</f>
        <v>19.649999999999999</v>
      </c>
      <c r="E59" s="499"/>
      <c r="F59" s="499"/>
    </row>
    <row r="60" spans="1:6" ht="13.5" customHeight="1" thickBot="1" x14ac:dyDescent="0.25">
      <c r="A60" s="1486" t="s">
        <v>952</v>
      </c>
      <c r="B60" s="1487"/>
      <c r="C60" s="645"/>
      <c r="E60" s="798"/>
      <c r="F60" s="798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A4" sqref="A4:C59"/>
    </sheetView>
  </sheetViews>
  <sheetFormatPr defaultColWidth="9.33203125" defaultRowHeight="12.75" x14ac:dyDescent="0.2"/>
  <cols>
    <col min="1" max="1" width="13.83203125" style="96" customWidth="1"/>
    <col min="2" max="2" width="82" style="775" customWidth="1"/>
    <col min="3" max="3" width="28.5" style="320" customWidth="1"/>
    <col min="4" max="16384" width="9.33203125" style="775"/>
  </cols>
  <sheetData>
    <row r="1" spans="1:8" ht="12.75" customHeight="1" x14ac:dyDescent="0.2">
      <c r="A1" s="1485" t="str">
        <f>CONCATENATE("23. melléklet"," ",ALAPADATOK!A7," ",ALAPADATOK!B7," ",ALAPADATOK!C7," ",ALAPADATOK!D7," ",ALAPADATOK!E7," ",ALAPADATOK!F7," ",ALAPADATOK!G7," ",ALAPADATOK!H7)</f>
        <v>23. melléklet a 15 / 2021. ( IX.30. ) önkormányzati rendelethez</v>
      </c>
      <c r="B1" s="1485"/>
      <c r="C1" s="1485"/>
    </row>
    <row r="2" spans="1:8" s="77" customFormat="1" ht="21" customHeight="1" x14ac:dyDescent="0.2">
      <c r="A2" s="76"/>
      <c r="B2" s="78"/>
      <c r="C2" s="971"/>
    </row>
    <row r="3" spans="1:8" s="217" customFormat="1" ht="36.75" customHeight="1" thickBot="1" x14ac:dyDescent="0.25">
      <c r="A3" s="1445" t="s">
        <v>1079</v>
      </c>
      <c r="B3" s="1445"/>
      <c r="C3" s="1445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7">
        <f>SUM(C8:C18)</f>
        <v>1154984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429"/>
    </row>
    <row r="9" spans="1:8" s="168" customFormat="1" ht="12" customHeight="1" x14ac:dyDescent="0.2">
      <c r="A9" s="212" t="s">
        <v>87</v>
      </c>
      <c r="B9" s="5" t="s">
        <v>210</v>
      </c>
      <c r="C9" s="855">
        <v>909435</v>
      </c>
      <c r="H9" s="1429"/>
    </row>
    <row r="10" spans="1:8" s="168" customFormat="1" ht="12" customHeight="1" x14ac:dyDescent="0.2">
      <c r="A10" s="212" t="s">
        <v>88</v>
      </c>
      <c r="B10" s="5" t="s">
        <v>211</v>
      </c>
      <c r="C10" s="855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5"/>
    </row>
    <row r="12" spans="1:8" s="168" customFormat="1" ht="12" customHeight="1" x14ac:dyDescent="0.2">
      <c r="A12" s="212" t="s">
        <v>112</v>
      </c>
      <c r="B12" s="5" t="s">
        <v>213</v>
      </c>
      <c r="C12" s="855"/>
    </row>
    <row r="13" spans="1:8" s="168" customFormat="1" ht="12" customHeight="1" x14ac:dyDescent="0.2">
      <c r="A13" s="212" t="s">
        <v>90</v>
      </c>
      <c r="B13" s="5" t="s">
        <v>333</v>
      </c>
      <c r="C13" s="855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5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5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/>
    </row>
    <row r="19" spans="1:3" s="168" customFormat="1" ht="12" customHeight="1" thickBot="1" x14ac:dyDescent="0.25">
      <c r="A19" s="71" t="s">
        <v>17</v>
      </c>
      <c r="B19" s="86" t="s">
        <v>335</v>
      </c>
      <c r="C19" s="857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5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5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7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54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6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7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54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6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8">
        <f>+C7+C19+C24+C25+C30+C34+C35</f>
        <v>62624683</v>
      </c>
    </row>
    <row r="37" spans="1:3" s="168" customFormat="1" ht="12" customHeight="1" thickBot="1" x14ac:dyDescent="0.25">
      <c r="A37" s="969" t="s">
        <v>24</v>
      </c>
      <c r="B37" s="54" t="s">
        <v>342</v>
      </c>
      <c r="C37" s="858">
        <f>+C38+C39+C40</f>
        <v>6494968</v>
      </c>
    </row>
    <row r="38" spans="1:3" s="168" customFormat="1" ht="12" customHeight="1" x14ac:dyDescent="0.2">
      <c r="A38" s="213" t="s">
        <v>343</v>
      </c>
      <c r="B38" s="214" t="s">
        <v>168</v>
      </c>
      <c r="C38" s="854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81">
        <f>6494967+1</f>
        <v>6494968</v>
      </c>
    </row>
    <row r="41" spans="1:3" s="220" customFormat="1" ht="15" customHeight="1" thickBot="1" x14ac:dyDescent="0.25">
      <c r="A41" s="969" t="s">
        <v>25</v>
      </c>
      <c r="B41" s="970" t="s">
        <v>347</v>
      </c>
      <c r="C41" s="163">
        <f>+C36+C37</f>
        <v>69119651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7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5"/>
    </row>
    <row r="51" spans="1:3" s="221" customFormat="1" ht="12" customHeight="1" thickBot="1" x14ac:dyDescent="0.25">
      <c r="A51" s="74" t="s">
        <v>17</v>
      </c>
      <c r="B51" s="54" t="s">
        <v>349</v>
      </c>
      <c r="C51" s="857">
        <f>SUM(C52:C54)</f>
        <v>56432568</v>
      </c>
    </row>
    <row r="52" spans="1:3" ht="12" customHeight="1" x14ac:dyDescent="0.2">
      <c r="A52" s="212" t="s">
        <v>92</v>
      </c>
      <c r="B52" s="6" t="s">
        <v>159</v>
      </c>
      <c r="C52" s="859">
        <f>54931845+1</f>
        <v>54931846</v>
      </c>
    </row>
    <row r="53" spans="1:3" ht="12" customHeight="1" x14ac:dyDescent="0.2">
      <c r="A53" s="212" t="s">
        <v>93</v>
      </c>
      <c r="B53" s="5" t="s">
        <v>139</v>
      </c>
      <c r="C53" s="571">
        <v>1500722</v>
      </c>
    </row>
    <row r="54" spans="1:3" ht="12" customHeight="1" x14ac:dyDescent="0.2">
      <c r="A54" s="212" t="s">
        <v>94</v>
      </c>
      <c r="B54" s="5" t="s">
        <v>54</v>
      </c>
      <c r="C54" s="855"/>
    </row>
    <row r="55" spans="1:3" ht="15" customHeight="1" thickBot="1" x14ac:dyDescent="0.25">
      <c r="A55" s="212" t="s">
        <v>95</v>
      </c>
      <c r="B55" s="5" t="s">
        <v>471</v>
      </c>
      <c r="C55" s="855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69119651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J6" sqref="J6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hidden="1" customWidth="1"/>
    <col min="5" max="5" width="11.83203125" style="798" hidden="1" customWidth="1"/>
    <col min="6" max="6" width="12.5" style="798" hidden="1" customWidth="1"/>
    <col min="7" max="7" width="9.33203125" style="775" customWidth="1"/>
    <col min="8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5" t="str">
        <f>CONCATENATE("24. melléklet"," ",ALAPADATOK!A7," ",ALAPADATOK!B7," ",ALAPADATOK!C7," ",ALAPADATOK!D7," ",ALAPADATOK!E7," ",ALAPADATOK!F7," ",ALAPADATOK!G7," ",ALAPADATOK!H7)</f>
        <v>24. melléklet a 15 / 2021. ( IX.30. ) önkormányzati rendelethez</v>
      </c>
      <c r="B1" s="1485"/>
      <c r="C1" s="1485"/>
    </row>
    <row r="2" spans="1:6" s="77" customFormat="1" ht="21" customHeight="1" x14ac:dyDescent="0.2">
      <c r="A2" s="76"/>
      <c r="B2" s="78"/>
      <c r="C2" s="968"/>
      <c r="E2" s="798"/>
      <c r="F2" s="798"/>
    </row>
    <row r="3" spans="1:6" s="217" customFormat="1" ht="33" customHeight="1" thickBot="1" x14ac:dyDescent="0.25">
      <c r="A3" s="1445" t="s">
        <v>1041</v>
      </c>
      <c r="B3" s="1445"/>
      <c r="C3" s="1445"/>
      <c r="E3" s="497"/>
      <c r="F3" s="497"/>
    </row>
    <row r="4" spans="1:6" ht="13.5" thickBot="1" x14ac:dyDescent="0.25">
      <c r="A4" s="1327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5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5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5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5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5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5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5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69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81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69" t="s">
        <v>25</v>
      </c>
      <c r="B41" s="970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5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60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5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60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9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88" t="s">
        <v>465</v>
      </c>
      <c r="B56" s="1489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86" t="s">
        <v>952</v>
      </c>
      <c r="B57" s="1487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H42" sqref="H42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5" t="str">
        <f>CONCATENATE("25. melléklet"," ",ALAPADATOK!A7," ",ALAPADATOK!B7," ",ALAPADATOK!C7," ",ALAPADATOK!D7," ",ALAPADATOK!E7," ",ALAPADATOK!F7," ",ALAPADATOK!G7," ",ALAPADATOK!H7)</f>
        <v>25. melléklet a 15 / 2021. ( IX.30. ) önkormányzati rendelethez</v>
      </c>
      <c r="B1" s="1485"/>
      <c r="C1" s="1485"/>
    </row>
    <row r="2" spans="1:6" s="77" customFormat="1" ht="21" customHeight="1" x14ac:dyDescent="0.2">
      <c r="A2" s="76"/>
      <c r="B2" s="78"/>
      <c r="C2" s="968"/>
    </row>
    <row r="3" spans="1:6" s="217" customFormat="1" ht="33" customHeight="1" thickBot="1" x14ac:dyDescent="0.25">
      <c r="A3" s="1445" t="s">
        <v>1042</v>
      </c>
      <c r="B3" s="1445"/>
      <c r="C3" s="1445"/>
      <c r="E3" s="497"/>
      <c r="F3" s="497"/>
    </row>
    <row r="4" spans="1:6" ht="13.5" thickBot="1" x14ac:dyDescent="0.25">
      <c r="A4" s="1327" t="s">
        <v>154</v>
      </c>
      <c r="B4" s="81" t="s">
        <v>50</v>
      </c>
      <c r="C4" s="330" t="s">
        <v>1033</v>
      </c>
      <c r="E4" s="798"/>
      <c r="F4" s="798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5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5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5"/>
    </row>
    <row r="12" spans="1:6" s="168" customFormat="1" ht="12" customHeight="1" x14ac:dyDescent="0.2">
      <c r="A12" s="212" t="s">
        <v>112</v>
      </c>
      <c r="B12" s="5" t="s">
        <v>213</v>
      </c>
      <c r="C12" s="855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5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5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5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69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81">
        <f>166233753-6383081-28971201-51490300+5293958</f>
        <v>84683129</v>
      </c>
    </row>
    <row r="41" spans="1:3" s="220" customFormat="1" ht="15" customHeight="1" thickBot="1" x14ac:dyDescent="0.25">
      <c r="A41" s="969" t="s">
        <v>25</v>
      </c>
      <c r="B41" s="970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54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5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60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60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9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88" t="s">
        <v>465</v>
      </c>
      <c r="B56" s="1489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86" t="s">
        <v>952</v>
      </c>
      <c r="B57" s="1487"/>
      <c r="C57" s="645">
        <v>0</v>
      </c>
      <c r="E57" s="798"/>
      <c r="F57" s="798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A2" sqref="A2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775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5" t="str">
        <f>CONCATENATE("19. melléklet"," ",ALAPADATOK!A7," ",ALAPADATOK!B7," ",ALAPADATOK!C7," ",ALAPADATOK!D7," ",ALAPADATOK!E7," ",ALAPADATOK!F7," ",ALAPADATOK!G7," ",ALAPADATOK!H7)</f>
        <v>19. melléklet a 15 / 2021. ( IX.30. ) önkormányzati rendelethez</v>
      </c>
      <c r="B1" s="1485"/>
      <c r="C1" s="1485"/>
    </row>
    <row r="2" spans="1:3" s="77" customFormat="1" ht="21" customHeight="1" thickBot="1" x14ac:dyDescent="0.25">
      <c r="A2" s="76"/>
      <c r="B2" s="78"/>
      <c r="C2" s="971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7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5"/>
    </row>
    <row r="12" spans="1:3" s="168" customFormat="1" ht="12" customHeight="1" x14ac:dyDescent="0.2">
      <c r="A12" s="212" t="s">
        <v>88</v>
      </c>
      <c r="B12" s="5" t="s">
        <v>211</v>
      </c>
      <c r="C12" s="855"/>
    </row>
    <row r="13" spans="1:3" s="168" customFormat="1" ht="12" customHeight="1" x14ac:dyDescent="0.2">
      <c r="A13" s="212" t="s">
        <v>89</v>
      </c>
      <c r="B13" s="5" t="s">
        <v>212</v>
      </c>
      <c r="C13" s="855"/>
    </row>
    <row r="14" spans="1:3" s="168" customFormat="1" ht="12" customHeight="1" x14ac:dyDescent="0.2">
      <c r="A14" s="212" t="s">
        <v>112</v>
      </c>
      <c r="B14" s="5" t="s">
        <v>213</v>
      </c>
      <c r="C14" s="855"/>
    </row>
    <row r="15" spans="1:3" s="168" customFormat="1" ht="12" customHeight="1" x14ac:dyDescent="0.2">
      <c r="A15" s="212" t="s">
        <v>90</v>
      </c>
      <c r="B15" s="5" t="s">
        <v>333</v>
      </c>
      <c r="C15" s="855"/>
    </row>
    <row r="16" spans="1:3" s="168" customFormat="1" ht="12" customHeight="1" x14ac:dyDescent="0.2">
      <c r="A16" s="212" t="s">
        <v>91</v>
      </c>
      <c r="B16" s="4" t="s">
        <v>334</v>
      </c>
      <c r="C16" s="855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5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7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5"/>
    </row>
    <row r="24" spans="1:3" s="220" customFormat="1" ht="12" customHeight="1" x14ac:dyDescent="0.2">
      <c r="A24" s="212" t="s">
        <v>94</v>
      </c>
      <c r="B24" s="5" t="s">
        <v>337</v>
      </c>
      <c r="C24" s="860"/>
    </row>
    <row r="25" spans="1:3" s="220" customFormat="1" ht="12" customHeight="1" thickBot="1" x14ac:dyDescent="0.25">
      <c r="A25" s="212" t="s">
        <v>95</v>
      </c>
      <c r="B25" s="5" t="s">
        <v>468</v>
      </c>
      <c r="C25" s="855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7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54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6"/>
    </row>
    <row r="32" spans="1:3" s="220" customFormat="1" ht="12" customHeight="1" thickBot="1" x14ac:dyDescent="0.25">
      <c r="A32" s="74" t="s">
        <v>20</v>
      </c>
      <c r="B32" s="54" t="s">
        <v>339</v>
      </c>
      <c r="C32" s="857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54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6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8">
        <f>+C9+C21+C26+C27+C32+C36+C37</f>
        <v>0</v>
      </c>
    </row>
    <row r="39" spans="1:3" s="168" customFormat="1" ht="12" customHeight="1" thickBot="1" x14ac:dyDescent="0.25">
      <c r="A39" s="969" t="s">
        <v>24</v>
      </c>
      <c r="B39" s="54" t="s">
        <v>342</v>
      </c>
      <c r="C39" s="858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54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6"/>
    </row>
    <row r="43" spans="1:3" s="220" customFormat="1" ht="15" customHeight="1" thickBot="1" x14ac:dyDescent="0.25">
      <c r="A43" s="969" t="s">
        <v>25</v>
      </c>
      <c r="B43" s="970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7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9"/>
    </row>
    <row r="49" spans="1:3" ht="12" customHeight="1" x14ac:dyDescent="0.2">
      <c r="A49" s="212" t="s">
        <v>87</v>
      </c>
      <c r="B49" s="5" t="s">
        <v>135</v>
      </c>
      <c r="C49" s="860"/>
    </row>
    <row r="50" spans="1:3" ht="12" customHeight="1" x14ac:dyDescent="0.2">
      <c r="A50" s="212" t="s">
        <v>88</v>
      </c>
      <c r="B50" s="5" t="s">
        <v>111</v>
      </c>
      <c r="C50" s="860"/>
    </row>
    <row r="51" spans="1:3" ht="12" customHeight="1" x14ac:dyDescent="0.2">
      <c r="A51" s="212" t="s">
        <v>89</v>
      </c>
      <c r="B51" s="5" t="s">
        <v>136</v>
      </c>
      <c r="C51" s="855"/>
    </row>
    <row r="52" spans="1:3" ht="12" customHeight="1" thickBot="1" x14ac:dyDescent="0.25">
      <c r="A52" s="212" t="s">
        <v>112</v>
      </c>
      <c r="B52" s="5" t="s">
        <v>137</v>
      </c>
      <c r="C52" s="855"/>
    </row>
    <row r="53" spans="1:3" s="221" customFormat="1" ht="12" customHeight="1" thickBot="1" x14ac:dyDescent="0.25">
      <c r="A53" s="74" t="s">
        <v>17</v>
      </c>
      <c r="B53" s="54" t="s">
        <v>349</v>
      </c>
      <c r="C53" s="857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9"/>
    </row>
    <row r="55" spans="1:3" ht="12" customHeight="1" x14ac:dyDescent="0.2">
      <c r="A55" s="212" t="s">
        <v>93</v>
      </c>
      <c r="B55" s="5" t="s">
        <v>139</v>
      </c>
      <c r="C55" s="855"/>
    </row>
    <row r="56" spans="1:3" ht="12" customHeight="1" x14ac:dyDescent="0.2">
      <c r="A56" s="212" t="s">
        <v>94</v>
      </c>
      <c r="B56" s="5" t="s">
        <v>54</v>
      </c>
      <c r="C56" s="855"/>
    </row>
    <row r="57" spans="1:3" ht="15" customHeight="1" thickBot="1" x14ac:dyDescent="0.25">
      <c r="A57" s="212" t="s">
        <v>95</v>
      </c>
      <c r="B57" s="5" t="s">
        <v>471</v>
      </c>
      <c r="C57" s="855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A4" sqref="A4:C59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customWidth="1"/>
    <col min="5" max="5" width="11.83203125" style="798" hidden="1" customWidth="1"/>
    <col min="6" max="6" width="12.5" style="798" hidden="1" customWidth="1"/>
    <col min="7" max="8" width="9.33203125" style="775" customWidth="1"/>
    <col min="9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5" t="str">
        <f>CONCATENATE("26. melléklet"," ",ALAPADATOK!A7," ",ALAPADATOK!B7," ",ALAPADATOK!C7," ",ALAPADATOK!D7," ",ALAPADATOK!E7," ",ALAPADATOK!F7," ",ALAPADATOK!G7," ",ALAPADATOK!H7)</f>
        <v>26. melléklet a 15 / 2021. ( IX.30. ) önkormányzati rendelethez</v>
      </c>
      <c r="B1" s="1485"/>
      <c r="C1" s="1485"/>
    </row>
    <row r="2" spans="1:6" s="77" customFormat="1" ht="21" customHeight="1" x14ac:dyDescent="0.2">
      <c r="A2" s="76"/>
      <c r="B2" s="78"/>
      <c r="C2" s="968"/>
      <c r="E2" s="798"/>
      <c r="F2" s="798"/>
    </row>
    <row r="3" spans="1:6" s="217" customFormat="1" ht="33" customHeight="1" thickBot="1" x14ac:dyDescent="0.25">
      <c r="A3" s="1445" t="s">
        <v>1043</v>
      </c>
      <c r="B3" s="1445"/>
      <c r="C3" s="1445"/>
      <c r="E3" s="497"/>
      <c r="F3" s="497"/>
    </row>
    <row r="4" spans="1:6" ht="13.5" thickBot="1" x14ac:dyDescent="0.25">
      <c r="A4" s="1327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5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5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7">
        <f>SUM(C20:C22)</f>
        <v>115146660</v>
      </c>
      <c r="E19" s="499">
        <f>'9.6.1. sz. mell Kornisné Kp. '!C19+'9.6.2. sz. mell Kornisné Kp.'!C19+'9.6.3. sz. mell Kornisné Kp '!C21</f>
        <v>115146660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  <c r="E22" s="499">
        <f>'9.6.1. sz. mell Kornisné Kp. '!C22+'9.6.2. sz. mell Kornisné Kp.'!C22+'9.6.3. sz. mell Kornisné Kp '!C24</f>
        <v>115146660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934"/>
      <c r="E34" s="499">
        <f>'9.6.1. sz. mell Kornisné Kp. '!C34+'9.6.2. sz. mell Kornisné Kp.'!C34+'9.6.3. sz. mell Kornisné Kp 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61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334514732</v>
      </c>
      <c r="E36" s="499">
        <f>'9.6.1. sz. mell Kornisné Kp. '!C36+'9.6.2. sz. mell Kornisné Kp.'!C36+'9.6.3. sz. mell Kornisné Kp '!C38</f>
        <v>334514732</v>
      </c>
      <c r="F36" s="499">
        <f t="shared" si="0"/>
        <v>0</v>
      </c>
    </row>
    <row r="37" spans="1:6" s="168" customFormat="1" ht="12" customHeight="1" thickBot="1" x14ac:dyDescent="0.25">
      <c r="A37" s="969" t="s">
        <v>24</v>
      </c>
      <c r="B37" s="54" t="s">
        <v>342</v>
      </c>
      <c r="C37" s="580">
        <f>SUM(C38:C40)</f>
        <v>666179755</v>
      </c>
      <c r="E37" s="499">
        <f>'9.6.1. sz. mell Kornisné Kp. '!C37+'9.6.2. sz. mell Kornisné Kp.'!C37+'9.6.3. sz. mell Kornisné Kp '!C39</f>
        <v>666179755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81">
        <f>651585517-13290141+2791000+10697320+8205636+160000</f>
        <v>660149332</v>
      </c>
      <c r="E40" s="499">
        <f>'9.6.1. sz. mell Kornisné Kp. '!C40+'9.6.2. sz. mell Kornisné Kp.'!C40+'9.6.3. sz. mell Kornisné Kp '!C42</f>
        <v>660149332</v>
      </c>
      <c r="F40" s="499">
        <f t="shared" si="0"/>
        <v>0</v>
      </c>
    </row>
    <row r="41" spans="1:6" s="220" customFormat="1" ht="15" customHeight="1" thickBot="1" x14ac:dyDescent="0.25">
      <c r="A41" s="969" t="s">
        <v>25</v>
      </c>
      <c r="B41" s="970" t="s">
        <v>347</v>
      </c>
      <c r="C41" s="580">
        <f>+C36+C37</f>
        <v>1000694487</v>
      </c>
      <c r="E41" s="499">
        <f>'9.6.1. sz. mell Kornisné Kp. '!C41+'9.6.2. sz. mell Kornisné Kp.'!C41+'9.6.3. sz. mell Kornisné Kp '!C43</f>
        <v>1000694487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978151750</v>
      </c>
      <c r="E43" s="499">
        <f>'9.6.1. sz. mell Kornisné Kp. '!C43+'9.6.2. sz. mell Kornisné Kp.'!C43+'9.6.3. sz. mell Kornisné Kp '!C47</f>
        <v>978151750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9">
        <f>615034869-10221506+1817900+16966440+9270677+1533000+3049440</f>
        <v>637450820</v>
      </c>
      <c r="E44" s="499">
        <f>'9.6.1. sz. mell Kornisné Kp. '!C44+'9.6.2. sz. mell Kornisné Kp.'!C44+'9.6.3. sz. mell Kornisné Kp '!C48</f>
        <v>637450820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60">
        <f>105575946-1567191+281775+1426643+237615+820163</f>
        <v>106774951</v>
      </c>
      <c r="E45" s="499">
        <f>'9.6.1. sz. mell Kornisné Kp. '!C45+'9.6.2. sz. mell Kornisné Kp.'!C45+'9.6.3. sz. mell Kornisné Kp '!C49</f>
        <v>106774951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60">
        <f>221374740-1501444+886325+8000000+6435021+2440940-3869603+160000</f>
        <v>233925979</v>
      </c>
      <c r="E46" s="499">
        <f>'9.6.1. sz. mell Kornisné Kp. '!C46+'9.6.2. sz. mell Kornisné Kp.'!C46+'9.6.3. sz. mell Kornisné Kp '!C50</f>
        <v>233925979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22542737</v>
      </c>
      <c r="E49" s="499">
        <f>'9.6.1. sz. mell Kornisné Kp. '!C49+'9.6.2. sz. mell Kornisné Kp.'!C49+'9.6.3. sz. mell Kornisné Kp '!C53</f>
        <v>22542737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>
        <f>14882031-195000+9062206-1206500</f>
        <v>22542737</v>
      </c>
      <c r="E50" s="499">
        <f>'9.6.1. sz. mell Kornisné Kp. '!C50+'9.6.2. sz. mell Kornisné Kp.'!C50+'9.6.3. sz. mell Kornisné Kp '!C54</f>
        <v>22542737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1000694487</v>
      </c>
      <c r="E55" s="499">
        <f>'9.6.1. sz. mell Kornisné Kp. '!C55+'9.6.2. sz. mell Kornisné Kp.'!C55+'9.6.3. sz. mell Kornisné Kp '!C59</f>
        <v>1000694487</v>
      </c>
      <c r="F55" s="499">
        <f t="shared" si="0"/>
        <v>0</v>
      </c>
    </row>
    <row r="56" spans="1:6" ht="13.5" thickBot="1" x14ac:dyDescent="0.25">
      <c r="A56" s="1480" t="s">
        <v>465</v>
      </c>
      <c r="B56" s="1481"/>
      <c r="C56" s="1201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94" t="s">
        <v>693</v>
      </c>
      <c r="B57" s="1495"/>
      <c r="C57" s="594">
        <v>2</v>
      </c>
      <c r="E57" s="499"/>
      <c r="F57" s="499"/>
    </row>
    <row r="58" spans="1:6" s="333" customFormat="1" ht="19.899999999999999" customHeight="1" thickBot="1" x14ac:dyDescent="0.25">
      <c r="A58" s="1490" t="s">
        <v>522</v>
      </c>
      <c r="B58" s="1491"/>
      <c r="C58" s="972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92" t="s">
        <v>953</v>
      </c>
      <c r="B59" s="1493"/>
      <c r="C59" s="972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A3" sqref="A3:C3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5" t="str">
        <f>CONCATENATE("27. melléklet"," ",ALAPADATOK!A7," ",ALAPADATOK!B7," ",ALAPADATOK!C7," ",ALAPADATOK!D7," ",ALAPADATOK!E7," ",ALAPADATOK!F7," ",ALAPADATOK!G7," ",ALAPADATOK!H7)</f>
        <v>27. melléklet a 15 / 2021. ( IX.30. ) önkormányzati rendelethez</v>
      </c>
      <c r="B1" s="1485"/>
      <c r="C1" s="1485"/>
    </row>
    <row r="2" spans="1:3" s="77" customFormat="1" ht="21" customHeight="1" x14ac:dyDescent="0.2">
      <c r="A2" s="76"/>
      <c r="B2" s="78"/>
      <c r="C2" s="968"/>
    </row>
    <row r="3" spans="1:3" s="217" customFormat="1" ht="35.25" customHeight="1" thickBot="1" x14ac:dyDescent="0.25">
      <c r="A3" s="1445" t="s">
        <v>1044</v>
      </c>
      <c r="B3" s="1445"/>
      <c r="C3" s="1445"/>
    </row>
    <row r="4" spans="1:3" ht="13.5" thickBot="1" x14ac:dyDescent="0.25">
      <c r="A4" s="1327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5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5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5"/>
    </row>
    <row r="12" spans="1:3" s="168" customFormat="1" ht="12" customHeight="1" x14ac:dyDescent="0.2">
      <c r="A12" s="212" t="s">
        <v>112</v>
      </c>
      <c r="B12" s="5" t="s">
        <v>213</v>
      </c>
      <c r="C12" s="855"/>
    </row>
    <row r="13" spans="1:3" s="168" customFormat="1" ht="12" customHeight="1" x14ac:dyDescent="0.2">
      <c r="A13" s="212" t="s">
        <v>90</v>
      </c>
      <c r="B13" s="5" t="s">
        <v>333</v>
      </c>
      <c r="C13" s="855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5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34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69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54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6">
        <f>178131106+27000+252610</f>
        <v>178410716</v>
      </c>
    </row>
    <row r="41" spans="1:3" s="220" customFormat="1" ht="15" customHeight="1" thickBot="1" x14ac:dyDescent="0.25">
      <c r="A41" s="969" t="s">
        <v>25</v>
      </c>
      <c r="B41" s="970" t="s">
        <v>347</v>
      </c>
      <c r="C41" s="858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577">
        <v>144481249</v>
      </c>
    </row>
    <row r="45" spans="1:3" ht="12" customHeight="1" x14ac:dyDescent="0.2">
      <c r="A45" s="212" t="s">
        <v>87</v>
      </c>
      <c r="B45" s="5" t="s">
        <v>135</v>
      </c>
      <c r="C45" s="571">
        <v>23886312</v>
      </c>
    </row>
    <row r="46" spans="1:3" ht="12" customHeight="1" x14ac:dyDescent="0.2">
      <c r="A46" s="212" t="s">
        <v>88</v>
      </c>
      <c r="B46" s="5" t="s">
        <v>111</v>
      </c>
      <c r="C46" s="860">
        <f>25134586+27000+252610+1234440</f>
        <v>26648636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7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I12" sqref="I12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34" t="str">
        <f>CONCATENATE("3. melléklet"," ",ALAPADATOK!A7," ",ALAPADATOK!B7," ",ALAPADATOK!C7," ",ALAPADATOK!D7," ",ALAPADATOK!E7," ",ALAPADATOK!F7," ",ALAPADATOK!G7," ",ALAPADATOK!H7)</f>
        <v>3. melléklet a 15 / 2021. ( IX.30. ) önkormányzati rendelethez</v>
      </c>
      <c r="B1" s="1434"/>
      <c r="C1" s="1434"/>
    </row>
    <row r="2" spans="1:6" s="816" customFormat="1" x14ac:dyDescent="0.25">
      <c r="A2" s="692"/>
      <c r="B2" s="692"/>
      <c r="C2" s="692"/>
    </row>
    <row r="3" spans="1:6" s="671" customFormat="1" x14ac:dyDescent="0.25">
      <c r="A3" s="1439" t="str">
        <f>CONCATENATE(ALAPADATOK!A3)</f>
        <v>Tiszavasvári Város Önkormányzat</v>
      </c>
      <c r="B3" s="1439"/>
      <c r="C3" s="1439"/>
      <c r="E3" s="671" t="s">
        <v>710</v>
      </c>
    </row>
    <row r="4" spans="1:6" s="671" customFormat="1" x14ac:dyDescent="0.25">
      <c r="A4" s="1438" t="str">
        <f>CONCATENATE(ALAPADATOK!D7," ÉVI KÖLTSÉGVETÉS")</f>
        <v>2021. ÉVI KÖLTSÉGVETÉS</v>
      </c>
      <c r="B4" s="1438"/>
      <c r="C4" s="1438"/>
      <c r="E4" s="671" t="s">
        <v>987</v>
      </c>
    </row>
    <row r="5" spans="1:6" s="671" customFormat="1" x14ac:dyDescent="0.25">
      <c r="A5" s="1438" t="s">
        <v>716</v>
      </c>
      <c r="B5" s="1438"/>
      <c r="C5" s="1438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36" t="s">
        <v>13</v>
      </c>
      <c r="B7" s="1436"/>
      <c r="C7" s="1436"/>
      <c r="D7" s="170"/>
      <c r="E7" s="170"/>
      <c r="F7" s="170"/>
    </row>
    <row r="8" spans="1:6" ht="15.95" customHeight="1" thickBot="1" x14ac:dyDescent="0.3">
      <c r="A8" s="1440"/>
      <c r="B8" s="1440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64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268008402</v>
      </c>
      <c r="D20" s="267">
        <f>+D21+D22+D23+D24+D25</f>
        <v>168209383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290">
        <f t="shared" si="0"/>
        <v>268008402</v>
      </c>
      <c r="D25" s="256">
        <f>131199793+400000+24966440+4143150+7500000</f>
        <v>168209383</v>
      </c>
      <c r="E25" s="116"/>
      <c r="F25" s="864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50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280091487</v>
      </c>
      <c r="D27" s="267">
        <f>+D28+D29+D30+D31+D32</f>
        <v>218162206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290">
        <f t="shared" si="0"/>
        <v>180091487</v>
      </c>
      <c r="D32" s="256">
        <f>100100000+18062206</f>
        <v>118162206</v>
      </c>
      <c r="E32" s="116"/>
      <c r="F32" s="864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50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52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216338419</v>
      </c>
      <c r="D41" s="267">
        <f>SUM(D42:D52)</f>
        <v>28133300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64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64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850">
        <f t="shared" si="0"/>
        <v>100000</v>
      </c>
      <c r="D52" s="259">
        <v>100000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64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64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64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200000</v>
      </c>
      <c r="D59" s="267">
        <f>SUM(D60:D62)</f>
        <v>200000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64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0</v>
      </c>
      <c r="D62" s="256"/>
      <c r="E62" s="116"/>
      <c r="F62" s="864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64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64"/>
    </row>
    <row r="67" spans="1:6" s="183" customFormat="1" ht="12" customHeight="1" x14ac:dyDescent="0.2">
      <c r="A67" s="11" t="s">
        <v>160</v>
      </c>
      <c r="B67" s="185" t="s">
        <v>237</v>
      </c>
      <c r="C67" s="846">
        <f t="shared" si="0"/>
        <v>0</v>
      </c>
      <c r="D67" s="256"/>
      <c r="E67" s="116"/>
      <c r="F67" s="864"/>
    </row>
    <row r="68" spans="1:6" s="183" customFormat="1" ht="12" customHeight="1" thickBot="1" x14ac:dyDescent="0.25">
      <c r="A68" s="13" t="s">
        <v>235</v>
      </c>
      <c r="B68" s="109" t="s">
        <v>238</v>
      </c>
      <c r="C68" s="850">
        <f t="shared" si="0"/>
        <v>0</v>
      </c>
      <c r="D68" s="256"/>
      <c r="E68" s="116"/>
      <c r="F68" s="864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1072865859</v>
      </c>
      <c r="D69" s="270">
        <f>+D11+D20+D27+D34+D41+D53+D59+D64</f>
        <v>722932440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64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64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64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64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64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64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64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64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64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64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64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64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64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64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64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64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1075112301</v>
      </c>
      <c r="D94" s="270">
        <f>+D69+D93</f>
        <v>722932440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36" t="s">
        <v>44</v>
      </c>
      <c r="B95" s="1436"/>
      <c r="C95" s="1436"/>
      <c r="D95" s="814"/>
      <c r="E95" s="814"/>
      <c r="F95" s="814"/>
    </row>
    <row r="96" spans="1:6" s="193" customFormat="1" ht="16.5" customHeight="1" thickBot="1" x14ac:dyDescent="0.3">
      <c r="A96" s="1437" t="s">
        <v>116</v>
      </c>
      <c r="B96" s="1437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14"/>
      <c r="E97" s="814"/>
      <c r="F97" s="814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933243653</v>
      </c>
      <c r="D99" s="275">
        <f>+D100+D101+D102+D103+D104+D117</f>
        <v>171964248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1184">
        <f t="shared" si="2"/>
        <v>501347444</v>
      </c>
      <c r="D100" s="868">
        <f>3533503-10221506+18784340+13413827+1769220+3049440</f>
        <v>30328824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846">
        <f t="shared" si="2"/>
        <v>85386730</v>
      </c>
      <c r="D101" s="865">
        <f>1615069-1567191+281775+2068831+345585+820163</f>
        <v>3564232</v>
      </c>
      <c r="E101" s="864">
        <v>7314</v>
      </c>
      <c r="F101" s="864">
        <f>125550+81689634</f>
        <v>81815184</v>
      </c>
      <c r="H101" s="814"/>
    </row>
    <row r="102" spans="1:8" ht="12" customHeight="1" x14ac:dyDescent="0.25">
      <c r="A102" s="11" t="s">
        <v>88</v>
      </c>
      <c r="B102" s="5" t="s">
        <v>111</v>
      </c>
      <c r="C102" s="846">
        <f t="shared" si="2"/>
        <v>328256186</v>
      </c>
      <c r="D102" s="866">
        <f>91462720-1501444+8886325+96499+300000+24836715-4262916</f>
        <v>119817899</v>
      </c>
      <c r="E102" s="173">
        <v>101600</v>
      </c>
      <c r="F102" s="864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6"/>
      <c r="E103" s="173"/>
      <c r="F103" s="864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18253293</v>
      </c>
      <c r="D104" s="866">
        <f>SUM(D105:D116)</f>
        <v>18253293</v>
      </c>
      <c r="E104" s="866">
        <f>SUM(E105:E116)</f>
        <v>0</v>
      </c>
      <c r="F104" s="866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6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6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293">
        <f t="shared" si="2"/>
        <v>0</v>
      </c>
      <c r="D107" s="866"/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6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6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6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6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6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6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6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6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5">
        <f>8000000+12062478-1809185</f>
        <v>18253293</v>
      </c>
      <c r="E116" s="864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64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277701759</v>
      </c>
      <c r="D120" s="267">
        <f>+D121+D123+D125</f>
        <v>206743011</v>
      </c>
      <c r="E120" s="112">
        <f>+E121+E123+E125</f>
        <v>0</v>
      </c>
      <c r="F120" s="250">
        <f>+F121+F123+F125</f>
        <v>70958748</v>
      </c>
    </row>
    <row r="121" spans="1:6" ht="12" customHeight="1" x14ac:dyDescent="0.25">
      <c r="A121" s="12" t="s">
        <v>92</v>
      </c>
      <c r="B121" s="5" t="s">
        <v>159</v>
      </c>
      <c r="C121" s="1184">
        <f t="shared" si="2"/>
        <v>226201037</v>
      </c>
      <c r="D121" s="867">
        <f>97836015+18062206+1809000+38482476+553314</f>
        <v>156743011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290">
        <f t="shared" si="2"/>
        <v>0</v>
      </c>
      <c r="D122" s="867"/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90">
        <f t="shared" si="2"/>
        <v>51500722</v>
      </c>
      <c r="D123" s="101">
        <v>50000000</v>
      </c>
      <c r="E123" s="864"/>
      <c r="F123" s="864">
        <v>1500722</v>
      </c>
    </row>
    <row r="124" spans="1:6" ht="12" customHeight="1" x14ac:dyDescent="0.25">
      <c r="A124" s="12" t="s">
        <v>95</v>
      </c>
      <c r="B124" s="9" t="s">
        <v>300</v>
      </c>
      <c r="C124" s="293">
        <f t="shared" si="2"/>
        <v>0</v>
      </c>
      <c r="D124" s="101"/>
      <c r="E124" s="508"/>
      <c r="F124" s="865"/>
    </row>
    <row r="125" spans="1:6" ht="12" customHeight="1" x14ac:dyDescent="0.25">
      <c r="A125" s="12" t="s">
        <v>96</v>
      </c>
      <c r="B125" s="109" t="s">
        <v>161</v>
      </c>
      <c r="C125" s="101">
        <f>SUM(C126:C133)</f>
        <v>0</v>
      </c>
      <c r="D125" s="865"/>
      <c r="E125" s="865"/>
      <c r="F125" s="865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5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5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5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5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5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5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5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6"/>
      <c r="E133" s="866"/>
      <c r="F133" s="866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1210945412</v>
      </c>
      <c r="D134" s="267">
        <f>+D99+D120</f>
        <v>378707259</v>
      </c>
      <c r="E134" s="112">
        <f>+E99+E120</f>
        <v>108914</v>
      </c>
      <c r="F134" s="112">
        <f>+F99+F120</f>
        <v>832129239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5">
        <v>1668000</v>
      </c>
      <c r="E136" s="865"/>
      <c r="F136" s="865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40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41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41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42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1212613412</v>
      </c>
      <c r="D160" s="278">
        <f>+D134+D159</f>
        <v>380375259</v>
      </c>
      <c r="E160" s="194">
        <f>+E134+E159</f>
        <v>108914</v>
      </c>
      <c r="F160" s="1142">
        <f>+F134+F159</f>
        <v>832129239</v>
      </c>
    </row>
    <row r="161" spans="1:4" x14ac:dyDescent="0.25">
      <c r="A161" s="1438" t="s">
        <v>308</v>
      </c>
      <c r="B161" s="1438"/>
      <c r="C161" s="1438"/>
    </row>
    <row r="162" spans="1:4" ht="15" customHeight="1" thickBot="1" x14ac:dyDescent="0.3">
      <c r="A162" s="1435" t="s">
        <v>117</v>
      </c>
      <c r="B162" s="1435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-138079553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E7" sqref="E7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5" style="775" bestFit="1" customWidth="1"/>
    <col min="5" max="5" width="10.83203125" style="775" bestFit="1" customWidth="1"/>
    <col min="6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5" t="str">
        <f>CONCATENATE("28. melléklet"," ",ALAPADATOK!A7," ",ALAPADATOK!B7," ",ALAPADATOK!C7," ",ALAPADATOK!D7," ",ALAPADATOK!E7," ",ALAPADATOK!F7," ",ALAPADATOK!G7," ",ALAPADATOK!H7)</f>
        <v>28. melléklet a 15 / 2021. ( IX.30. ) önkormányzati rendelethez</v>
      </c>
      <c r="B1" s="1485"/>
      <c r="C1" s="1485"/>
    </row>
    <row r="2" spans="1:3" s="77" customFormat="1" ht="21" customHeight="1" x14ac:dyDescent="0.2">
      <c r="A2" s="76"/>
      <c r="B2" s="78"/>
      <c r="C2" s="968"/>
    </row>
    <row r="3" spans="1:3" s="217" customFormat="1" ht="34.5" customHeight="1" thickBot="1" x14ac:dyDescent="0.25">
      <c r="A3" s="1445" t="s">
        <v>1045</v>
      </c>
      <c r="B3" s="1445"/>
      <c r="C3" s="1445"/>
    </row>
    <row r="4" spans="1:3" ht="13.5" thickBot="1" x14ac:dyDescent="0.25">
      <c r="A4" s="1327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7">
        <f>SUM(C20:C22)</f>
        <v>115146660</v>
      </c>
    </row>
    <row r="20" spans="1:3" s="220" customFormat="1" ht="12" customHeight="1" x14ac:dyDescent="0.2">
      <c r="A20" s="212" t="s">
        <v>92</v>
      </c>
      <c r="B20" s="6" t="s">
        <v>187</v>
      </c>
      <c r="C20" s="855"/>
    </row>
    <row r="21" spans="1:3" s="220" customFormat="1" ht="12" customHeight="1" x14ac:dyDescent="0.2">
      <c r="A21" s="212" t="s">
        <v>93</v>
      </c>
      <c r="B21" s="5" t="s">
        <v>336</v>
      </c>
      <c r="C21" s="855"/>
    </row>
    <row r="22" spans="1:3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961"/>
    </row>
    <row r="36" spans="1:3" s="168" customFormat="1" ht="12" customHeight="1" thickBot="1" x14ac:dyDescent="0.25">
      <c r="A36" s="71" t="s">
        <v>23</v>
      </c>
      <c r="B36" s="54" t="s">
        <v>341</v>
      </c>
      <c r="C36" s="858">
        <f>+C7+C19+C24+C25+C30+C34+C35</f>
        <v>321337382</v>
      </c>
    </row>
    <row r="37" spans="1:3" s="168" customFormat="1" ht="12" customHeight="1" thickBot="1" x14ac:dyDescent="0.25">
      <c r="A37" s="969" t="s">
        <v>24</v>
      </c>
      <c r="B37" s="54" t="s">
        <v>342</v>
      </c>
      <c r="C37" s="580">
        <f>+C38+C39+C40</f>
        <v>483985058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81">
        <f>473454411-13290141+2791000+10697320+505890+1264725+6155411+160000</f>
        <v>481738616</v>
      </c>
    </row>
    <row r="41" spans="1:3" s="220" customFormat="1" ht="15" customHeight="1" thickBot="1" x14ac:dyDescent="0.25">
      <c r="A41" s="969" t="s">
        <v>25</v>
      </c>
      <c r="B41" s="970" t="s">
        <v>347</v>
      </c>
      <c r="C41" s="858">
        <f>+C36+C37</f>
        <v>805322440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2">
        <f>SUM(C44:C48)</f>
        <v>783135553</v>
      </c>
    </row>
    <row r="44" spans="1:3" ht="12" customHeight="1" x14ac:dyDescent="0.2">
      <c r="A44" s="212" t="s">
        <v>86</v>
      </c>
      <c r="B44" s="6" t="s">
        <v>46</v>
      </c>
      <c r="C44" s="859">
        <f>470553620-10221506+1817900+16966440+9270677+1533000+3049440</f>
        <v>492969571</v>
      </c>
    </row>
    <row r="45" spans="1:3" ht="12" customHeight="1" x14ac:dyDescent="0.2">
      <c r="A45" s="212" t="s">
        <v>87</v>
      </c>
      <c r="B45" s="5" t="s">
        <v>135</v>
      </c>
      <c r="C45" s="860">
        <f>81689634-1567191+281775+1426643+237615+820163</f>
        <v>82888639</v>
      </c>
    </row>
    <row r="46" spans="1:3" ht="12" customHeight="1" x14ac:dyDescent="0.2">
      <c r="A46" s="212" t="s">
        <v>88</v>
      </c>
      <c r="B46" s="5" t="s">
        <v>111</v>
      </c>
      <c r="C46" s="860">
        <f>196240154-1501444+886325+8000000+6155411+1206500-3869603+160000</f>
        <v>207277343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22186887</v>
      </c>
    </row>
    <row r="50" spans="1:5" ht="12" customHeight="1" x14ac:dyDescent="0.2">
      <c r="A50" s="212" t="s">
        <v>92</v>
      </c>
      <c r="B50" s="6" t="s">
        <v>159</v>
      </c>
      <c r="C50" s="854">
        <f>14526181-195000+9062206-1206500</f>
        <v>22186887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7">
        <f>+C43+C49+C54</f>
        <v>805322440</v>
      </c>
    </row>
    <row r="56" spans="1:5" ht="13.5" thickBot="1" x14ac:dyDescent="0.25">
      <c r="A56" s="1480" t="s">
        <v>465</v>
      </c>
      <c r="B56" s="1481"/>
      <c r="C56" s="1201">
        <f>110-3.33+3</f>
        <v>109.67</v>
      </c>
    </row>
    <row r="57" spans="1:5" ht="13.5" thickBot="1" x14ac:dyDescent="0.25">
      <c r="A57" s="1494" t="s">
        <v>694</v>
      </c>
      <c r="B57" s="1495"/>
      <c r="C57" s="594">
        <v>2</v>
      </c>
    </row>
    <row r="58" spans="1:5" ht="13.5" customHeight="1" thickBot="1" x14ac:dyDescent="0.25">
      <c r="A58" s="1492" t="s">
        <v>953</v>
      </c>
      <c r="B58" s="1493"/>
      <c r="C58" s="972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46" zoomScale="115" zoomScaleNormal="115" workbookViewId="0">
      <selection activeCell="B15" sqref="B15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5" style="775" bestFit="1" customWidth="1"/>
    <col min="5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3" ht="12.75" customHeight="1" x14ac:dyDescent="0.2">
      <c r="A1" s="1485" t="str">
        <f>CONCATENATE("9.6.3. melléklet"," ",ALAPADATOK!A7," ",ALAPADATOK!B7," ",ALAPADATOK!C7," ",ALAPADATOK!D7," ",ALAPADATOK!E7," ",ALAPADATOK!F7," ",ALAPADATOK!G7," ",ALAPADATOK!H7)</f>
        <v>9.6.3. melléklet a 15 / 2021. ( IX.30. ) önkormányzati rendelethez</v>
      </c>
      <c r="B1" s="1485"/>
      <c r="C1" s="1485"/>
    </row>
    <row r="2" spans="1:3" s="77" customFormat="1" ht="21" customHeight="1" thickBot="1" x14ac:dyDescent="0.25">
      <c r="A2" s="76"/>
      <c r="B2" s="78"/>
      <c r="C2" s="968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69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69" t="s">
        <v>25</v>
      </c>
      <c r="B43" s="970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7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4" ht="12" customHeight="1" x14ac:dyDescent="0.2">
      <c r="A49" s="212" t="s">
        <v>87</v>
      </c>
      <c r="B49" s="5" t="s">
        <v>135</v>
      </c>
      <c r="C49" s="855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96"/>
      <c r="B62" s="1497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topLeftCell="A29" zoomScaleNormal="100" workbookViewId="0">
      <selection activeCell="I49" sqref="I49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4" width="9.33203125" style="775" customWidth="1"/>
    <col min="5" max="5" width="11.83203125" style="798" hidden="1" customWidth="1"/>
    <col min="6" max="6" width="12.5" style="798" hidden="1" customWidth="1"/>
    <col min="7" max="8" width="9.33203125" style="775" customWidth="1"/>
    <col min="9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13" ht="12.75" customHeight="1" x14ac:dyDescent="0.2">
      <c r="A1" s="1485" t="str">
        <f>CONCATENATE("29. melléklet"," ",ALAPADATOK!A7," ",ALAPADATOK!B7," ",ALAPADATOK!C7," ",ALAPADATOK!D7," ",ALAPADATOK!E7," ",ALAPADATOK!F7," ",ALAPADATOK!G7," ",ALAPADATOK!H7)</f>
        <v>29. melléklet a 15 / 2021. ( IX.30. ) önkormányzati rendelethez</v>
      </c>
      <c r="B1" s="1485"/>
      <c r="C1" s="1485"/>
    </row>
    <row r="2" spans="1:13" s="77" customFormat="1" ht="21" customHeight="1" x14ac:dyDescent="0.2">
      <c r="A2" s="76"/>
      <c r="B2" s="78"/>
      <c r="C2" s="968"/>
      <c r="E2" s="798"/>
      <c r="F2" s="798"/>
    </row>
    <row r="3" spans="1:13" s="217" customFormat="1" ht="36" customHeight="1" thickBot="1" x14ac:dyDescent="0.25">
      <c r="A3" s="1445" t="s">
        <v>1080</v>
      </c>
      <c r="B3" s="1445"/>
      <c r="C3" s="1445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429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429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429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69" t="s">
        <v>24</v>
      </c>
      <c r="B37" s="54" t="s">
        <v>342</v>
      </c>
      <c r="C37" s="858">
        <f>+C38+C39+C40</f>
        <v>110247274</v>
      </c>
      <c r="E37" s="499">
        <f>'9.7.1. sz. mell TIB  '!C37+'9.7.2. sz. mell TIB'!C40</f>
        <v>110247274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81">
        <f>110066135-484352+381000</f>
        <v>109962783</v>
      </c>
      <c r="E40" s="499">
        <f>'9.7.1. sz. mell TIB  '!C40+'9.7.2. sz. mell TIB'!C43</f>
        <v>109962783</v>
      </c>
      <c r="F40" s="499">
        <f t="shared" si="0"/>
        <v>0</v>
      </c>
    </row>
    <row r="41" spans="1:6" s="220" customFormat="1" ht="15" customHeight="1" thickBot="1" x14ac:dyDescent="0.25">
      <c r="A41" s="969" t="s">
        <v>25</v>
      </c>
      <c r="B41" s="970" t="s">
        <v>347</v>
      </c>
      <c r="C41" s="858">
        <f>+C36+C37</f>
        <v>111672946</v>
      </c>
      <c r="E41" s="499">
        <f>'9.7.1. sz. mell TIB  '!C41+'9.7.2. sz. mell TIB'!C44</f>
        <v>111672946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7">
        <f>SUM(C44:C48)</f>
        <v>111397946</v>
      </c>
      <c r="E43" s="499">
        <f>'9.7.1. sz. mell TIB  '!C43+'9.7.2. sz. mell TIB'!C48</f>
        <v>111397946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577">
        <f>82248525</f>
        <v>82248525</v>
      </c>
      <c r="E44" s="499">
        <f>'9.7.1. sz. mell TIB  '!C44+'9.7.2. sz. mell TIB'!C49</f>
        <v>82248525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571">
        <f>13031917</f>
        <v>13031917</v>
      </c>
      <c r="E45" s="499">
        <f>'9.7.1. sz. mell TIB  '!C45+'9.7.2. sz. mell TIB'!C50</f>
        <v>13031917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60">
        <f>16220856-484352+381000</f>
        <v>16117504</v>
      </c>
      <c r="E46" s="499">
        <f>'9.7.1. sz. mell TIB  '!C46+'9.7.2. sz. mell TIB'!C51</f>
        <v>16117504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275000</v>
      </c>
      <c r="E49" s="499">
        <f>'9.7.1. sz. mell TIB  '!C49+'9.7.2. sz. mell TIB'!C54</f>
        <v>275000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577">
        <f>25000+200000+50000</f>
        <v>275000</v>
      </c>
      <c r="E50" s="499">
        <f>'9.7.1. sz. mell TIB  '!C50+'9.7.2. sz. mell TIB'!C55</f>
        <v>275000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7">
        <f>+C43+C49+C54</f>
        <v>111672946</v>
      </c>
      <c r="E55" s="499">
        <f>'9.7.1. sz. mell TIB  '!C55+'9.7.2. sz. mell TIB'!C60</f>
        <v>111672946</v>
      </c>
      <c r="F55" s="499">
        <f t="shared" si="0"/>
        <v>0</v>
      </c>
    </row>
    <row r="56" spans="1:6" ht="13.5" thickBot="1" x14ac:dyDescent="0.25">
      <c r="A56" s="1480" t="s">
        <v>465</v>
      </c>
      <c r="B56" s="1481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topLeftCell="A46" zoomScale="145" zoomScaleNormal="145" workbookViewId="0">
      <selection activeCell="F14" sqref="F14"/>
    </sheetView>
  </sheetViews>
  <sheetFormatPr defaultRowHeight="12.75" x14ac:dyDescent="0.2"/>
  <cols>
    <col min="1" max="1" width="13.83203125" style="96" customWidth="1"/>
    <col min="2" max="2" width="79.1640625" style="775" customWidth="1"/>
    <col min="3" max="3" width="25" style="333" customWidth="1"/>
    <col min="4" max="256" width="9.33203125" style="775"/>
    <col min="257" max="257" width="13.83203125" style="775" customWidth="1"/>
    <col min="258" max="258" width="79.1640625" style="775" customWidth="1"/>
    <col min="259" max="259" width="25" style="775" customWidth="1"/>
    <col min="260" max="512" width="9.33203125" style="775"/>
    <col min="513" max="513" width="13.83203125" style="775" customWidth="1"/>
    <col min="514" max="514" width="79.1640625" style="775" customWidth="1"/>
    <col min="515" max="515" width="25" style="775" customWidth="1"/>
    <col min="516" max="768" width="9.33203125" style="775"/>
    <col min="769" max="769" width="13.83203125" style="775" customWidth="1"/>
    <col min="770" max="770" width="79.1640625" style="775" customWidth="1"/>
    <col min="771" max="771" width="25" style="775" customWidth="1"/>
    <col min="772" max="1024" width="9.33203125" style="775"/>
    <col min="1025" max="1025" width="13.83203125" style="775" customWidth="1"/>
    <col min="1026" max="1026" width="79.1640625" style="775" customWidth="1"/>
    <col min="1027" max="1027" width="25" style="775" customWidth="1"/>
    <col min="1028" max="1280" width="9.33203125" style="775"/>
    <col min="1281" max="1281" width="13.83203125" style="775" customWidth="1"/>
    <col min="1282" max="1282" width="79.1640625" style="775" customWidth="1"/>
    <col min="1283" max="1283" width="25" style="775" customWidth="1"/>
    <col min="1284" max="1536" width="9.33203125" style="775"/>
    <col min="1537" max="1537" width="13.83203125" style="775" customWidth="1"/>
    <col min="1538" max="1538" width="79.1640625" style="775" customWidth="1"/>
    <col min="1539" max="1539" width="25" style="775" customWidth="1"/>
    <col min="1540" max="1792" width="9.33203125" style="775"/>
    <col min="1793" max="1793" width="13.83203125" style="775" customWidth="1"/>
    <col min="1794" max="1794" width="79.1640625" style="775" customWidth="1"/>
    <col min="1795" max="1795" width="25" style="775" customWidth="1"/>
    <col min="1796" max="2048" width="9.33203125" style="775"/>
    <col min="2049" max="2049" width="13.83203125" style="775" customWidth="1"/>
    <col min="2050" max="2050" width="79.1640625" style="775" customWidth="1"/>
    <col min="2051" max="2051" width="25" style="775" customWidth="1"/>
    <col min="2052" max="2304" width="9.33203125" style="775"/>
    <col min="2305" max="2305" width="13.83203125" style="775" customWidth="1"/>
    <col min="2306" max="2306" width="79.1640625" style="775" customWidth="1"/>
    <col min="2307" max="2307" width="25" style="775" customWidth="1"/>
    <col min="2308" max="2560" width="9.33203125" style="775"/>
    <col min="2561" max="2561" width="13.83203125" style="775" customWidth="1"/>
    <col min="2562" max="2562" width="79.1640625" style="775" customWidth="1"/>
    <col min="2563" max="2563" width="25" style="775" customWidth="1"/>
    <col min="2564" max="2816" width="9.33203125" style="775"/>
    <col min="2817" max="2817" width="13.83203125" style="775" customWidth="1"/>
    <col min="2818" max="2818" width="79.1640625" style="775" customWidth="1"/>
    <col min="2819" max="2819" width="25" style="775" customWidth="1"/>
    <col min="2820" max="3072" width="9.33203125" style="775"/>
    <col min="3073" max="3073" width="13.83203125" style="775" customWidth="1"/>
    <col min="3074" max="3074" width="79.1640625" style="775" customWidth="1"/>
    <col min="3075" max="3075" width="25" style="775" customWidth="1"/>
    <col min="3076" max="3328" width="9.33203125" style="775"/>
    <col min="3329" max="3329" width="13.83203125" style="775" customWidth="1"/>
    <col min="3330" max="3330" width="79.1640625" style="775" customWidth="1"/>
    <col min="3331" max="3331" width="25" style="775" customWidth="1"/>
    <col min="3332" max="3584" width="9.33203125" style="775"/>
    <col min="3585" max="3585" width="13.83203125" style="775" customWidth="1"/>
    <col min="3586" max="3586" width="79.1640625" style="775" customWidth="1"/>
    <col min="3587" max="3587" width="25" style="775" customWidth="1"/>
    <col min="3588" max="3840" width="9.33203125" style="775"/>
    <col min="3841" max="3841" width="13.83203125" style="775" customWidth="1"/>
    <col min="3842" max="3842" width="79.1640625" style="775" customWidth="1"/>
    <col min="3843" max="3843" width="25" style="775" customWidth="1"/>
    <col min="3844" max="4096" width="9.33203125" style="775"/>
    <col min="4097" max="4097" width="13.83203125" style="775" customWidth="1"/>
    <col min="4098" max="4098" width="79.1640625" style="775" customWidth="1"/>
    <col min="4099" max="4099" width="25" style="775" customWidth="1"/>
    <col min="4100" max="4352" width="9.33203125" style="775"/>
    <col min="4353" max="4353" width="13.83203125" style="775" customWidth="1"/>
    <col min="4354" max="4354" width="79.1640625" style="775" customWidth="1"/>
    <col min="4355" max="4355" width="25" style="775" customWidth="1"/>
    <col min="4356" max="4608" width="9.33203125" style="775"/>
    <col min="4609" max="4609" width="13.83203125" style="775" customWidth="1"/>
    <col min="4610" max="4610" width="79.1640625" style="775" customWidth="1"/>
    <col min="4611" max="4611" width="25" style="775" customWidth="1"/>
    <col min="4612" max="4864" width="9.33203125" style="775"/>
    <col min="4865" max="4865" width="13.83203125" style="775" customWidth="1"/>
    <col min="4866" max="4866" width="79.1640625" style="775" customWidth="1"/>
    <col min="4867" max="4867" width="25" style="775" customWidth="1"/>
    <col min="4868" max="5120" width="9.33203125" style="775"/>
    <col min="5121" max="5121" width="13.83203125" style="775" customWidth="1"/>
    <col min="5122" max="5122" width="79.1640625" style="775" customWidth="1"/>
    <col min="5123" max="5123" width="25" style="775" customWidth="1"/>
    <col min="5124" max="5376" width="9.33203125" style="775"/>
    <col min="5377" max="5377" width="13.83203125" style="775" customWidth="1"/>
    <col min="5378" max="5378" width="79.1640625" style="775" customWidth="1"/>
    <col min="5379" max="5379" width="25" style="775" customWidth="1"/>
    <col min="5380" max="5632" width="9.33203125" style="775"/>
    <col min="5633" max="5633" width="13.83203125" style="775" customWidth="1"/>
    <col min="5634" max="5634" width="79.1640625" style="775" customWidth="1"/>
    <col min="5635" max="5635" width="25" style="775" customWidth="1"/>
    <col min="5636" max="5888" width="9.33203125" style="775"/>
    <col min="5889" max="5889" width="13.83203125" style="775" customWidth="1"/>
    <col min="5890" max="5890" width="79.1640625" style="775" customWidth="1"/>
    <col min="5891" max="5891" width="25" style="775" customWidth="1"/>
    <col min="5892" max="6144" width="9.33203125" style="775"/>
    <col min="6145" max="6145" width="13.83203125" style="775" customWidth="1"/>
    <col min="6146" max="6146" width="79.1640625" style="775" customWidth="1"/>
    <col min="6147" max="6147" width="25" style="775" customWidth="1"/>
    <col min="6148" max="6400" width="9.33203125" style="775"/>
    <col min="6401" max="6401" width="13.83203125" style="775" customWidth="1"/>
    <col min="6402" max="6402" width="79.1640625" style="775" customWidth="1"/>
    <col min="6403" max="6403" width="25" style="775" customWidth="1"/>
    <col min="6404" max="6656" width="9.33203125" style="775"/>
    <col min="6657" max="6657" width="13.83203125" style="775" customWidth="1"/>
    <col min="6658" max="6658" width="79.1640625" style="775" customWidth="1"/>
    <col min="6659" max="6659" width="25" style="775" customWidth="1"/>
    <col min="6660" max="6912" width="9.33203125" style="775"/>
    <col min="6913" max="6913" width="13.83203125" style="775" customWidth="1"/>
    <col min="6914" max="6914" width="79.1640625" style="775" customWidth="1"/>
    <col min="6915" max="6915" width="25" style="775" customWidth="1"/>
    <col min="6916" max="7168" width="9.33203125" style="775"/>
    <col min="7169" max="7169" width="13.83203125" style="775" customWidth="1"/>
    <col min="7170" max="7170" width="79.1640625" style="775" customWidth="1"/>
    <col min="7171" max="7171" width="25" style="775" customWidth="1"/>
    <col min="7172" max="7424" width="9.33203125" style="775"/>
    <col min="7425" max="7425" width="13.83203125" style="775" customWidth="1"/>
    <col min="7426" max="7426" width="79.1640625" style="775" customWidth="1"/>
    <col min="7427" max="7427" width="25" style="775" customWidth="1"/>
    <col min="7428" max="7680" width="9.33203125" style="775"/>
    <col min="7681" max="7681" width="13.83203125" style="775" customWidth="1"/>
    <col min="7682" max="7682" width="79.1640625" style="775" customWidth="1"/>
    <col min="7683" max="7683" width="25" style="775" customWidth="1"/>
    <col min="7684" max="7936" width="9.33203125" style="775"/>
    <col min="7937" max="7937" width="13.83203125" style="775" customWidth="1"/>
    <col min="7938" max="7938" width="79.1640625" style="775" customWidth="1"/>
    <col min="7939" max="7939" width="25" style="775" customWidth="1"/>
    <col min="7940" max="8192" width="9.33203125" style="775"/>
    <col min="8193" max="8193" width="13.83203125" style="775" customWidth="1"/>
    <col min="8194" max="8194" width="79.1640625" style="775" customWidth="1"/>
    <col min="8195" max="8195" width="25" style="775" customWidth="1"/>
    <col min="8196" max="8448" width="9.33203125" style="775"/>
    <col min="8449" max="8449" width="13.83203125" style="775" customWidth="1"/>
    <col min="8450" max="8450" width="79.1640625" style="775" customWidth="1"/>
    <col min="8451" max="8451" width="25" style="775" customWidth="1"/>
    <col min="8452" max="8704" width="9.33203125" style="775"/>
    <col min="8705" max="8705" width="13.83203125" style="775" customWidth="1"/>
    <col min="8706" max="8706" width="79.1640625" style="775" customWidth="1"/>
    <col min="8707" max="8707" width="25" style="775" customWidth="1"/>
    <col min="8708" max="8960" width="9.33203125" style="775"/>
    <col min="8961" max="8961" width="13.83203125" style="775" customWidth="1"/>
    <col min="8962" max="8962" width="79.1640625" style="775" customWidth="1"/>
    <col min="8963" max="8963" width="25" style="775" customWidth="1"/>
    <col min="8964" max="9216" width="9.33203125" style="775"/>
    <col min="9217" max="9217" width="13.83203125" style="775" customWidth="1"/>
    <col min="9218" max="9218" width="79.1640625" style="775" customWidth="1"/>
    <col min="9219" max="9219" width="25" style="775" customWidth="1"/>
    <col min="9220" max="9472" width="9.33203125" style="775"/>
    <col min="9473" max="9473" width="13.83203125" style="775" customWidth="1"/>
    <col min="9474" max="9474" width="79.1640625" style="775" customWidth="1"/>
    <col min="9475" max="9475" width="25" style="775" customWidth="1"/>
    <col min="9476" max="9728" width="9.33203125" style="775"/>
    <col min="9729" max="9729" width="13.83203125" style="775" customWidth="1"/>
    <col min="9730" max="9730" width="79.1640625" style="775" customWidth="1"/>
    <col min="9731" max="9731" width="25" style="775" customWidth="1"/>
    <col min="9732" max="9984" width="9.33203125" style="775"/>
    <col min="9985" max="9985" width="13.83203125" style="775" customWidth="1"/>
    <col min="9986" max="9986" width="79.1640625" style="775" customWidth="1"/>
    <col min="9987" max="9987" width="25" style="775" customWidth="1"/>
    <col min="9988" max="10240" width="9.33203125" style="775"/>
    <col min="10241" max="10241" width="13.83203125" style="775" customWidth="1"/>
    <col min="10242" max="10242" width="79.1640625" style="775" customWidth="1"/>
    <col min="10243" max="10243" width="25" style="775" customWidth="1"/>
    <col min="10244" max="10496" width="9.33203125" style="775"/>
    <col min="10497" max="10497" width="13.83203125" style="775" customWidth="1"/>
    <col min="10498" max="10498" width="79.1640625" style="775" customWidth="1"/>
    <col min="10499" max="10499" width="25" style="775" customWidth="1"/>
    <col min="10500" max="10752" width="9.33203125" style="775"/>
    <col min="10753" max="10753" width="13.83203125" style="775" customWidth="1"/>
    <col min="10754" max="10754" width="79.1640625" style="775" customWidth="1"/>
    <col min="10755" max="10755" width="25" style="775" customWidth="1"/>
    <col min="10756" max="11008" width="9.33203125" style="775"/>
    <col min="11009" max="11009" width="13.83203125" style="775" customWidth="1"/>
    <col min="11010" max="11010" width="79.1640625" style="775" customWidth="1"/>
    <col min="11011" max="11011" width="25" style="775" customWidth="1"/>
    <col min="11012" max="11264" width="9.33203125" style="775"/>
    <col min="11265" max="11265" width="13.83203125" style="775" customWidth="1"/>
    <col min="11266" max="11266" width="79.1640625" style="775" customWidth="1"/>
    <col min="11267" max="11267" width="25" style="775" customWidth="1"/>
    <col min="11268" max="11520" width="9.33203125" style="775"/>
    <col min="11521" max="11521" width="13.83203125" style="775" customWidth="1"/>
    <col min="11522" max="11522" width="79.1640625" style="775" customWidth="1"/>
    <col min="11523" max="11523" width="25" style="775" customWidth="1"/>
    <col min="11524" max="11776" width="9.33203125" style="775"/>
    <col min="11777" max="11777" width="13.83203125" style="775" customWidth="1"/>
    <col min="11778" max="11778" width="79.1640625" style="775" customWidth="1"/>
    <col min="11779" max="11779" width="25" style="775" customWidth="1"/>
    <col min="11780" max="12032" width="9.33203125" style="775"/>
    <col min="12033" max="12033" width="13.83203125" style="775" customWidth="1"/>
    <col min="12034" max="12034" width="79.1640625" style="775" customWidth="1"/>
    <col min="12035" max="12035" width="25" style="775" customWidth="1"/>
    <col min="12036" max="12288" width="9.33203125" style="775"/>
    <col min="12289" max="12289" width="13.83203125" style="775" customWidth="1"/>
    <col min="12290" max="12290" width="79.1640625" style="775" customWidth="1"/>
    <col min="12291" max="12291" width="25" style="775" customWidth="1"/>
    <col min="12292" max="12544" width="9.33203125" style="775"/>
    <col min="12545" max="12545" width="13.83203125" style="775" customWidth="1"/>
    <col min="12546" max="12546" width="79.1640625" style="775" customWidth="1"/>
    <col min="12547" max="12547" width="25" style="775" customWidth="1"/>
    <col min="12548" max="12800" width="9.33203125" style="775"/>
    <col min="12801" max="12801" width="13.83203125" style="775" customWidth="1"/>
    <col min="12802" max="12802" width="79.1640625" style="775" customWidth="1"/>
    <col min="12803" max="12803" width="25" style="775" customWidth="1"/>
    <col min="12804" max="13056" width="9.33203125" style="775"/>
    <col min="13057" max="13057" width="13.83203125" style="775" customWidth="1"/>
    <col min="13058" max="13058" width="79.1640625" style="775" customWidth="1"/>
    <col min="13059" max="13059" width="25" style="775" customWidth="1"/>
    <col min="13060" max="13312" width="9.33203125" style="775"/>
    <col min="13313" max="13313" width="13.83203125" style="775" customWidth="1"/>
    <col min="13314" max="13314" width="79.1640625" style="775" customWidth="1"/>
    <col min="13315" max="13315" width="25" style="775" customWidth="1"/>
    <col min="13316" max="13568" width="9.33203125" style="775"/>
    <col min="13569" max="13569" width="13.83203125" style="775" customWidth="1"/>
    <col min="13570" max="13570" width="79.1640625" style="775" customWidth="1"/>
    <col min="13571" max="13571" width="25" style="775" customWidth="1"/>
    <col min="13572" max="13824" width="9.33203125" style="775"/>
    <col min="13825" max="13825" width="13.83203125" style="775" customWidth="1"/>
    <col min="13826" max="13826" width="79.1640625" style="775" customWidth="1"/>
    <col min="13827" max="13827" width="25" style="775" customWidth="1"/>
    <col min="13828" max="14080" width="9.33203125" style="775"/>
    <col min="14081" max="14081" width="13.83203125" style="775" customWidth="1"/>
    <col min="14082" max="14082" width="79.1640625" style="775" customWidth="1"/>
    <col min="14083" max="14083" width="25" style="775" customWidth="1"/>
    <col min="14084" max="14336" width="9.33203125" style="775"/>
    <col min="14337" max="14337" width="13.83203125" style="775" customWidth="1"/>
    <col min="14338" max="14338" width="79.1640625" style="775" customWidth="1"/>
    <col min="14339" max="14339" width="25" style="775" customWidth="1"/>
    <col min="14340" max="14592" width="9.33203125" style="775"/>
    <col min="14593" max="14593" width="13.83203125" style="775" customWidth="1"/>
    <col min="14594" max="14594" width="79.1640625" style="775" customWidth="1"/>
    <col min="14595" max="14595" width="25" style="775" customWidth="1"/>
    <col min="14596" max="14848" width="9.33203125" style="775"/>
    <col min="14849" max="14849" width="13.83203125" style="775" customWidth="1"/>
    <col min="14850" max="14850" width="79.1640625" style="775" customWidth="1"/>
    <col min="14851" max="14851" width="25" style="775" customWidth="1"/>
    <col min="14852" max="15104" width="9.33203125" style="775"/>
    <col min="15105" max="15105" width="13.83203125" style="775" customWidth="1"/>
    <col min="15106" max="15106" width="79.1640625" style="775" customWidth="1"/>
    <col min="15107" max="15107" width="25" style="775" customWidth="1"/>
    <col min="15108" max="15360" width="9.33203125" style="775"/>
    <col min="15361" max="15361" width="13.83203125" style="775" customWidth="1"/>
    <col min="15362" max="15362" width="79.1640625" style="775" customWidth="1"/>
    <col min="15363" max="15363" width="25" style="775" customWidth="1"/>
    <col min="15364" max="15616" width="9.33203125" style="775"/>
    <col min="15617" max="15617" width="13.83203125" style="775" customWidth="1"/>
    <col min="15618" max="15618" width="79.1640625" style="775" customWidth="1"/>
    <col min="15619" max="15619" width="25" style="775" customWidth="1"/>
    <col min="15620" max="15872" width="9.33203125" style="775"/>
    <col min="15873" max="15873" width="13.83203125" style="775" customWidth="1"/>
    <col min="15874" max="15874" width="79.1640625" style="775" customWidth="1"/>
    <col min="15875" max="15875" width="25" style="775" customWidth="1"/>
    <col min="15876" max="16128" width="9.33203125" style="775"/>
    <col min="16129" max="16129" width="13.83203125" style="775" customWidth="1"/>
    <col min="16130" max="16130" width="79.1640625" style="775" customWidth="1"/>
    <col min="16131" max="16131" width="25" style="775" customWidth="1"/>
    <col min="16132" max="16384" width="9.33203125" style="775"/>
  </cols>
  <sheetData>
    <row r="1" spans="1:6" ht="12.75" customHeight="1" x14ac:dyDescent="0.2">
      <c r="A1" s="1485" t="str">
        <f>CONCATENATE("30. melléklet"," ",ALAPADATOK!A7," ",ALAPADATOK!B7," ",ALAPADATOK!C7," ",ALAPADATOK!D7," ",ALAPADATOK!E7," ",ALAPADATOK!F7," ",ALAPADATOK!G7," ",ALAPADATOK!H7)</f>
        <v>30. melléklet a 15 / 2021. ( IX.30. ) önkormányzati rendelethez</v>
      </c>
      <c r="B1" s="1485"/>
      <c r="C1" s="1485"/>
    </row>
    <row r="2" spans="1:6" s="77" customFormat="1" ht="21" customHeight="1" x14ac:dyDescent="0.2">
      <c r="A2" s="76"/>
      <c r="B2" s="78"/>
      <c r="C2" s="968"/>
    </row>
    <row r="3" spans="1:6" s="217" customFormat="1" ht="36" customHeight="1" thickBot="1" x14ac:dyDescent="0.25">
      <c r="A3" s="1445" t="s">
        <v>1081</v>
      </c>
      <c r="B3" s="1445"/>
      <c r="C3" s="1445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429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429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430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69" t="s">
        <v>24</v>
      </c>
      <c r="B37" s="54" t="s">
        <v>342</v>
      </c>
      <c r="C37" s="858">
        <f>+C38+C39+C40</f>
        <v>110247274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81">
        <f>110066135-484352+381000</f>
        <v>109962783</v>
      </c>
    </row>
    <row r="41" spans="1:3" s="220" customFormat="1" ht="15" customHeight="1" thickBot="1" x14ac:dyDescent="0.25">
      <c r="A41" s="969" t="s">
        <v>25</v>
      </c>
      <c r="B41" s="970" t="s">
        <v>347</v>
      </c>
      <c r="C41" s="858">
        <f>+C36+C37</f>
        <v>111672946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7">
        <f>SUM(C44:C48)</f>
        <v>111397946</v>
      </c>
    </row>
    <row r="44" spans="1:3" ht="12" customHeight="1" x14ac:dyDescent="0.2">
      <c r="A44" s="212" t="s">
        <v>86</v>
      </c>
      <c r="B44" s="6" t="s">
        <v>46</v>
      </c>
      <c r="C44" s="577">
        <f>82248525</f>
        <v>82248525</v>
      </c>
    </row>
    <row r="45" spans="1:3" ht="12" customHeight="1" x14ac:dyDescent="0.2">
      <c r="A45" s="212" t="s">
        <v>87</v>
      </c>
      <c r="B45" s="5" t="s">
        <v>135</v>
      </c>
      <c r="C45" s="571">
        <f>13031917</f>
        <v>13031917</v>
      </c>
    </row>
    <row r="46" spans="1:3" ht="12" customHeight="1" x14ac:dyDescent="0.2">
      <c r="A46" s="212" t="s">
        <v>88</v>
      </c>
      <c r="B46" s="5" t="s">
        <v>111</v>
      </c>
      <c r="C46" s="860">
        <f>16220856-484352+381000</f>
        <v>16117504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275000</v>
      </c>
    </row>
    <row r="50" spans="1:3" ht="12" customHeight="1" x14ac:dyDescent="0.2">
      <c r="A50" s="212" t="s">
        <v>92</v>
      </c>
      <c r="B50" s="6" t="s">
        <v>159</v>
      </c>
      <c r="C50" s="854">
        <f>25000+200000+50000</f>
        <v>275000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7">
        <f>+C43+C49+C54</f>
        <v>111672946</v>
      </c>
    </row>
    <row r="56" spans="1:3" ht="13.5" thickBot="1" x14ac:dyDescent="0.25">
      <c r="A56" s="1480" t="s">
        <v>465</v>
      </c>
      <c r="B56" s="1481"/>
      <c r="C56" s="586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M66" sqref="M66"/>
    </sheetView>
  </sheetViews>
  <sheetFormatPr defaultRowHeight="12.75" x14ac:dyDescent="0.2"/>
  <cols>
    <col min="1" max="1" width="13.83203125" style="768" customWidth="1"/>
    <col min="2" max="2" width="79.1640625" style="768" customWidth="1"/>
    <col min="3" max="3" width="25" style="768" customWidth="1"/>
    <col min="4" max="16384" width="9.33203125" style="768"/>
  </cols>
  <sheetData>
    <row r="1" spans="1:3" x14ac:dyDescent="0.2">
      <c r="A1" s="1485" t="str">
        <f>CONCATENATE("9.7.2. melléklet"," ",ALAPADATOK!A7," ",ALAPADATOK!B7," ",ALAPADATOK!C7," ",ALAPADATOK!D7," ",ALAPADATOK!E7," ",ALAPADATOK!F7," ",ALAPADATOK!G7," ",ALAPADATOK!H7)</f>
        <v>9.7.2. melléklet a 15 / 2021. ( IX.30. ) önkormányzati rendelethez</v>
      </c>
      <c r="B1" s="1485"/>
      <c r="C1" s="1485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7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7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7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5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6"/>
    </row>
    <row r="32" spans="1:3" ht="13.5" thickBot="1" x14ac:dyDescent="0.25">
      <c r="A32" s="74" t="s">
        <v>20</v>
      </c>
      <c r="B32" s="54" t="s">
        <v>339</v>
      </c>
      <c r="C32" s="857">
        <f>+C33+C34+C35</f>
        <v>0</v>
      </c>
    </row>
    <row r="33" spans="1:3" x14ac:dyDescent="0.2">
      <c r="A33" s="213" t="s">
        <v>79</v>
      </c>
      <c r="B33" s="214" t="s">
        <v>223</v>
      </c>
      <c r="C33" s="854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6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8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8">
        <f>+C40+C41+C42</f>
        <v>0</v>
      </c>
    </row>
    <row r="40" spans="1:3" x14ac:dyDescent="0.2">
      <c r="A40" s="213" t="s">
        <v>343</v>
      </c>
      <c r="B40" s="214" t="s">
        <v>168</v>
      </c>
      <c r="C40" s="854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6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7">
        <f>SUM(C48:C52)</f>
        <v>0</v>
      </c>
    </row>
    <row r="48" spans="1:3" x14ac:dyDescent="0.2">
      <c r="A48" s="212" t="s">
        <v>86</v>
      </c>
      <c r="B48" s="6" t="s">
        <v>46</v>
      </c>
      <c r="C48" s="854"/>
    </row>
    <row r="49" spans="1:3" x14ac:dyDescent="0.2">
      <c r="A49" s="212" t="s">
        <v>87</v>
      </c>
      <c r="B49" s="5" t="s">
        <v>135</v>
      </c>
      <c r="C49" s="855"/>
    </row>
    <row r="50" spans="1:3" x14ac:dyDescent="0.2">
      <c r="A50" s="212" t="s">
        <v>88</v>
      </c>
      <c r="B50" s="5" t="s">
        <v>111</v>
      </c>
      <c r="C50" s="855"/>
    </row>
    <row r="51" spans="1:3" x14ac:dyDescent="0.2">
      <c r="A51" s="212" t="s">
        <v>89</v>
      </c>
      <c r="B51" s="5" t="s">
        <v>136</v>
      </c>
      <c r="C51" s="855"/>
    </row>
    <row r="52" spans="1:3" ht="13.5" thickBot="1" x14ac:dyDescent="0.25">
      <c r="A52" s="212" t="s">
        <v>112</v>
      </c>
      <c r="B52" s="5" t="s">
        <v>137</v>
      </c>
      <c r="C52" s="855"/>
    </row>
    <row r="53" spans="1:3" ht="13.5" thickBot="1" x14ac:dyDescent="0.25">
      <c r="A53" s="74" t="s">
        <v>17</v>
      </c>
      <c r="B53" s="54" t="s">
        <v>349</v>
      </c>
      <c r="C53" s="857">
        <f>SUM(C54:C56)</f>
        <v>0</v>
      </c>
    </row>
    <row r="54" spans="1:3" x14ac:dyDescent="0.2">
      <c r="A54" s="212" t="s">
        <v>92</v>
      </c>
      <c r="B54" s="6" t="s">
        <v>159</v>
      </c>
      <c r="C54" s="854"/>
    </row>
    <row r="55" spans="1:3" x14ac:dyDescent="0.2">
      <c r="A55" s="212" t="s">
        <v>93</v>
      </c>
      <c r="B55" s="5" t="s">
        <v>139</v>
      </c>
      <c r="C55" s="855"/>
    </row>
    <row r="56" spans="1:3" x14ac:dyDescent="0.2">
      <c r="A56" s="212" t="s">
        <v>94</v>
      </c>
      <c r="B56" s="5" t="s">
        <v>54</v>
      </c>
      <c r="C56" s="855"/>
    </row>
    <row r="57" spans="1:3" ht="13.5" thickBot="1" x14ac:dyDescent="0.25">
      <c r="A57" s="212" t="s">
        <v>95</v>
      </c>
      <c r="B57" s="5" t="s">
        <v>471</v>
      </c>
      <c r="C57" s="855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5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A7" sqref="A7:K16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98" t="str">
        <f>CONCATENATE("31. melléklet"," ",ALAPADATOK!A7," ",ALAPADATOK!B7," ",ALAPADATOK!C7," ",ALAPADATOK!D7," ",ALAPADATOK!E7," ",ALAPADATOK!F7," ",ALAPADATOK!G7," ",ALAPADATOK!H7)</f>
        <v>31. melléklet a 15 / 2021. ( IX.30. ) önkormányzati rendelethez</v>
      </c>
      <c r="B1" s="1498"/>
      <c r="C1" s="1498"/>
      <c r="D1" s="1498"/>
      <c r="E1" s="1498"/>
      <c r="F1" s="1498"/>
      <c r="G1" s="1498"/>
      <c r="H1" s="1498"/>
      <c r="I1" s="1498"/>
      <c r="J1" s="1498"/>
      <c r="K1" s="1498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510" t="s">
        <v>365</v>
      </c>
      <c r="B4" s="1510"/>
      <c r="C4" s="1510"/>
      <c r="D4" s="1510"/>
      <c r="E4" s="1510"/>
      <c r="F4" s="1510"/>
      <c r="G4" s="1510"/>
      <c r="H4" s="1510"/>
      <c r="I4" s="1510"/>
      <c r="J4" s="1510"/>
      <c r="K4" s="1510"/>
    </row>
    <row r="5" spans="1:11" ht="19.5" x14ac:dyDescent="0.35">
      <c r="A5" s="1510" t="s">
        <v>817</v>
      </c>
      <c r="B5" s="1510"/>
      <c r="C5" s="1510"/>
      <c r="D5" s="1510"/>
      <c r="E5" s="1510"/>
      <c r="F5" s="1510"/>
      <c r="G5" s="1510"/>
      <c r="H5" s="1510"/>
      <c r="I5" s="1510"/>
      <c r="J5" s="1510"/>
      <c r="K5" s="1510"/>
    </row>
    <row r="6" spans="1:11" ht="13.5" thickBot="1" x14ac:dyDescent="0.25">
      <c r="A6" s="1252"/>
      <c r="B6" s="1252"/>
      <c r="C6" s="1252"/>
      <c r="D6" s="1252"/>
      <c r="E6" s="1252"/>
      <c r="F6" s="1252"/>
      <c r="G6" s="1252"/>
      <c r="H6" s="1252"/>
      <c r="I6" s="1252"/>
      <c r="J6" s="1252"/>
      <c r="K6" s="1252"/>
    </row>
    <row r="7" spans="1:11" ht="15.95" customHeight="1" x14ac:dyDescent="0.2">
      <c r="A7" s="1499" t="s">
        <v>995</v>
      </c>
      <c r="B7" s="1502" t="s">
        <v>380</v>
      </c>
      <c r="C7" s="1503"/>
      <c r="D7" s="1504"/>
      <c r="E7" s="1505" t="s">
        <v>381</v>
      </c>
      <c r="F7" s="1506"/>
      <c r="G7" s="1506"/>
      <c r="H7" s="1506"/>
      <c r="I7" s="1506"/>
      <c r="J7" s="1506"/>
      <c r="K7" s="1507"/>
    </row>
    <row r="8" spans="1:11" ht="15.95" customHeight="1" x14ac:dyDescent="0.2">
      <c r="A8" s="1500"/>
      <c r="B8" s="1511" t="s">
        <v>1046</v>
      </c>
      <c r="C8" s="1511" t="s">
        <v>1052</v>
      </c>
      <c r="D8" s="1511" t="s">
        <v>1051</v>
      </c>
      <c r="E8" s="1511" t="s">
        <v>1047</v>
      </c>
      <c r="F8" s="1511" t="s">
        <v>1053</v>
      </c>
      <c r="G8" s="1511" t="s">
        <v>1048</v>
      </c>
      <c r="H8" s="1508" t="s">
        <v>137</v>
      </c>
      <c r="I8" s="1511" t="s">
        <v>1050</v>
      </c>
      <c r="J8" s="1511" t="s">
        <v>1049</v>
      </c>
      <c r="K8" s="1513" t="s">
        <v>1051</v>
      </c>
    </row>
    <row r="9" spans="1:11" ht="15.95" customHeight="1" x14ac:dyDescent="0.2">
      <c r="A9" s="1501"/>
      <c r="B9" s="1512"/>
      <c r="C9" s="1512"/>
      <c r="D9" s="1512"/>
      <c r="E9" s="1512"/>
      <c r="F9" s="1512"/>
      <c r="G9" s="1512"/>
      <c r="H9" s="1509"/>
      <c r="I9" s="1512"/>
      <c r="J9" s="1512"/>
      <c r="K9" s="1514"/>
    </row>
    <row r="10" spans="1:11" ht="15.95" customHeight="1" x14ac:dyDescent="0.2">
      <c r="A10" s="637" t="s">
        <v>366</v>
      </c>
      <c r="B10" s="1231">
        <f>26965328+913769</f>
        <v>27879097</v>
      </c>
      <c r="C10" s="1230">
        <f>K10-B10</f>
        <v>84683129</v>
      </c>
      <c r="D10" s="886">
        <f>B10+C10</f>
        <v>112562226</v>
      </c>
      <c r="E10" s="1226">
        <f>71998629-3504528-20794165-11522884</f>
        <v>36177052</v>
      </c>
      <c r="F10" s="1226">
        <f>11651828-543202-3177036-2075587</f>
        <v>5856003</v>
      </c>
      <c r="G10" s="1229">
        <v>70492848</v>
      </c>
      <c r="H10" s="1229">
        <v>36323</v>
      </c>
      <c r="I10" s="862"/>
      <c r="J10" s="862"/>
      <c r="K10" s="861">
        <f>SUM(E10:J10)</f>
        <v>112562226</v>
      </c>
    </row>
    <row r="11" spans="1:11" ht="15.95" customHeight="1" x14ac:dyDescent="0.2">
      <c r="A11" s="637" t="s">
        <v>0</v>
      </c>
      <c r="B11" s="1231">
        <f>9458552+274000</f>
        <v>9732552</v>
      </c>
      <c r="C11" s="1230">
        <f t="shared" ref="C11:C14" si="0">K11-B11</f>
        <v>334078367</v>
      </c>
      <c r="D11" s="886">
        <f t="shared" ref="D11:D14" si="1">B11+C11</f>
        <v>343810919</v>
      </c>
      <c r="E11" s="1229">
        <v>219275628</v>
      </c>
      <c r="F11" s="1229">
        <v>39075090</v>
      </c>
      <c r="G11" s="1229">
        <v>84660201</v>
      </c>
      <c r="H11" s="862"/>
      <c r="I11" s="862"/>
      <c r="J11" s="862">
        <f>1117500-317500</f>
        <v>800000</v>
      </c>
      <c r="K11" s="861">
        <f t="shared" ref="K11:K14" si="2">SUM(E11:J11)</f>
        <v>343810919</v>
      </c>
    </row>
    <row r="12" spans="1:11" ht="15.95" customHeight="1" x14ac:dyDescent="0.2">
      <c r="A12" s="637" t="s">
        <v>503</v>
      </c>
      <c r="B12" s="1230">
        <f>75261629+10000+112338</f>
        <v>75383967</v>
      </c>
      <c r="C12" s="1230">
        <f t="shared" si="0"/>
        <v>110845277</v>
      </c>
      <c r="D12" s="886">
        <f t="shared" si="1"/>
        <v>186229244</v>
      </c>
      <c r="E12" s="1226">
        <f>56715808-1383600+1037700</f>
        <v>56369908</v>
      </c>
      <c r="F12" s="1226">
        <f>9106816-214458+160844</f>
        <v>9053202</v>
      </c>
      <c r="G12" s="1226">
        <v>59920266</v>
      </c>
      <c r="H12" s="862"/>
      <c r="I12" s="862"/>
      <c r="J12" s="1229">
        <f>59572529+1201000+112338+1</f>
        <v>60885868</v>
      </c>
      <c r="K12" s="861">
        <f t="shared" si="2"/>
        <v>186229244</v>
      </c>
    </row>
    <row r="13" spans="1:11" s="300" customFormat="1" ht="18" customHeight="1" x14ac:dyDescent="0.2">
      <c r="A13" s="638" t="s">
        <v>488</v>
      </c>
      <c r="B13" s="1407">
        <f>305282069+34028646+1234440</f>
        <v>340545155</v>
      </c>
      <c r="C13" s="1230">
        <f t="shared" si="0"/>
        <v>660149332</v>
      </c>
      <c r="D13" s="886">
        <f t="shared" si="1"/>
        <v>1000694487</v>
      </c>
      <c r="E13" s="1229">
        <f>615034869-10221506+1817900+16966440+9270677+1533000+3049440</f>
        <v>637450820</v>
      </c>
      <c r="F13" s="1229">
        <f>105575946-1567191+281775+1426643+237615+820163</f>
        <v>106774951</v>
      </c>
      <c r="G13" s="1229">
        <f>221374740-1501444+886325+8000000+6435021+2440940-3869603+160000</f>
        <v>233925979</v>
      </c>
      <c r="H13" s="886"/>
      <c r="I13" s="886"/>
      <c r="J13" s="886">
        <f>14882031-195000+9062206-1206500</f>
        <v>22542737</v>
      </c>
      <c r="K13" s="861">
        <f t="shared" si="2"/>
        <v>1000694487</v>
      </c>
    </row>
    <row r="14" spans="1:11" s="300" customFormat="1" ht="18" customHeight="1" x14ac:dyDescent="0.2">
      <c r="A14" s="638" t="s">
        <v>478</v>
      </c>
      <c r="B14" s="1223">
        <f>1460163+200000+50000</f>
        <v>1710163</v>
      </c>
      <c r="C14" s="1230">
        <f t="shared" si="0"/>
        <v>109962783</v>
      </c>
      <c r="D14" s="886">
        <f t="shared" si="1"/>
        <v>111672946</v>
      </c>
      <c r="E14" s="1202">
        <v>82248525</v>
      </c>
      <c r="F14" s="1202">
        <v>13031917</v>
      </c>
      <c r="G14" s="1419">
        <f>16220856-484352+381000</f>
        <v>16117504</v>
      </c>
      <c r="H14" s="863"/>
      <c r="I14" s="863"/>
      <c r="J14" s="1227">
        <f>25000+200000+50000</f>
        <v>275000</v>
      </c>
      <c r="K14" s="861">
        <f t="shared" si="2"/>
        <v>111672946</v>
      </c>
    </row>
    <row r="15" spans="1:11" s="300" customFormat="1" ht="18" customHeight="1" x14ac:dyDescent="0.2">
      <c r="A15" s="638" t="s">
        <v>489</v>
      </c>
      <c r="B15" s="1420">
        <f>'9.2. sz. mell. '!C36+'9.2. sz. mell. '!C38</f>
        <v>46419147</v>
      </c>
      <c r="C15" s="1229">
        <f t="shared" ref="C15" si="3">K15-B15</f>
        <v>272293167</v>
      </c>
      <c r="D15" s="886">
        <f>SUM(B15:C15)</f>
        <v>318712314</v>
      </c>
      <c r="E15" s="932">
        <f>'9.2. sz. mell. '!C46</f>
        <v>172913011</v>
      </c>
      <c r="F15" s="932">
        <f>'9.2. sz. mell. '!C47</f>
        <v>30113915</v>
      </c>
      <c r="G15" s="1365">
        <f>'9.2. sz. mell. '!C48</f>
        <v>112920189</v>
      </c>
      <c r="H15" s="863"/>
      <c r="I15" s="863"/>
      <c r="J15" s="932">
        <f>'9.2. sz. mell. '!C52</f>
        <v>2765199</v>
      </c>
      <c r="K15" s="861">
        <f t="shared" ref="K15" si="4">SUM(E15:J15)</f>
        <v>318712314</v>
      </c>
    </row>
    <row r="16" spans="1:11" s="415" customFormat="1" ht="18" customHeight="1" thickBot="1" x14ac:dyDescent="0.25">
      <c r="A16" s="639" t="s">
        <v>368</v>
      </c>
      <c r="B16" s="847">
        <f t="shared" ref="B16:J16" si="5">SUM(B10:B15)</f>
        <v>501670081</v>
      </c>
      <c r="C16" s="933">
        <f t="shared" si="5"/>
        <v>1572012055</v>
      </c>
      <c r="D16" s="933">
        <f t="shared" si="5"/>
        <v>2073682136</v>
      </c>
      <c r="E16" s="933">
        <f t="shared" si="5"/>
        <v>1204434944</v>
      </c>
      <c r="F16" s="933">
        <f t="shared" si="5"/>
        <v>203905078</v>
      </c>
      <c r="G16" s="933">
        <f t="shared" si="5"/>
        <v>578036987</v>
      </c>
      <c r="H16" s="847">
        <f t="shared" si="5"/>
        <v>36323</v>
      </c>
      <c r="I16" s="847">
        <f t="shared" si="5"/>
        <v>0</v>
      </c>
      <c r="J16" s="847">
        <f t="shared" si="5"/>
        <v>87268804</v>
      </c>
      <c r="K16" s="853">
        <f>SUM(K10:K15)</f>
        <v>2073682136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A10" sqref="A10:B33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515" t="str">
        <f>CONCATENATE("32. melléklet"," ",ALAPADATOK!A7," ",ALAPADATOK!B7," ",ALAPADATOK!C7," ",ALAPADATOK!D7," ",ALAPADATOK!E7," ",ALAPADATOK!F7," ",ALAPADATOK!G7," ",ALAPADATOK!H7)</f>
        <v>32. melléklet a 15 / 2021. ( IX.30. ) önkormányzati rendelethez</v>
      </c>
      <c r="B1" s="1515"/>
      <c r="C1" s="799"/>
      <c r="D1" s="799"/>
      <c r="E1" s="799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516" t="s">
        <v>361</v>
      </c>
      <c r="B7" s="1516"/>
    </row>
    <row r="8" spans="1:5" ht="19.5" x14ac:dyDescent="0.35">
      <c r="A8" s="1517" t="s">
        <v>818</v>
      </c>
      <c r="B8" s="1517"/>
    </row>
    <row r="9" spans="1:5" ht="20.25" thickBot="1" x14ac:dyDescent="0.4">
      <c r="A9" s="1319"/>
      <c r="B9" s="1319"/>
    </row>
    <row r="10" spans="1:5" s="421" customFormat="1" ht="33" customHeight="1" thickBot="1" x14ac:dyDescent="0.25">
      <c r="A10" s="1239" t="s">
        <v>58</v>
      </c>
      <c r="B10" s="1394" t="s">
        <v>1054</v>
      </c>
    </row>
    <row r="11" spans="1:5" ht="16.5" thickBot="1" x14ac:dyDescent="0.3">
      <c r="A11" s="384" t="s">
        <v>55</v>
      </c>
      <c r="B11" s="1203">
        <f>10000000-8622933+2854876-254000-1666257+13433386-939589</f>
        <v>14805483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205" t="s">
        <v>593</v>
      </c>
      <c r="B13" s="869">
        <f>10000000-10000000</f>
        <v>0</v>
      </c>
      <c r="C13" s="357"/>
      <c r="D13" s="356"/>
    </row>
    <row r="14" spans="1:5" x14ac:dyDescent="0.2">
      <c r="A14" s="1205" t="s">
        <v>594</v>
      </c>
      <c r="B14" s="869">
        <v>300000</v>
      </c>
      <c r="C14" s="357"/>
      <c r="D14" s="356"/>
    </row>
    <row r="15" spans="1:5" x14ac:dyDescent="0.2">
      <c r="A15" s="1205" t="s">
        <v>595</v>
      </c>
      <c r="B15" s="869">
        <v>1000000</v>
      </c>
      <c r="C15" s="357"/>
      <c r="D15" s="356"/>
    </row>
    <row r="16" spans="1:5" x14ac:dyDescent="0.2">
      <c r="A16" s="1205" t="s">
        <v>915</v>
      </c>
      <c r="B16" s="869">
        <v>756000</v>
      </c>
      <c r="C16" s="357"/>
      <c r="D16" s="356"/>
    </row>
    <row r="17" spans="1:4" x14ac:dyDescent="0.2">
      <c r="A17" s="1206" t="s">
        <v>746</v>
      </c>
      <c r="B17" s="869">
        <v>44914861</v>
      </c>
      <c r="C17" s="357"/>
      <c r="D17" s="356"/>
    </row>
    <row r="18" spans="1:4" x14ac:dyDescent="0.2">
      <c r="A18" s="1206" t="s">
        <v>921</v>
      </c>
      <c r="B18" s="869">
        <f>7942716-540000</f>
        <v>7402716</v>
      </c>
      <c r="C18" s="357"/>
      <c r="D18" s="356"/>
    </row>
    <row r="19" spans="1:4" x14ac:dyDescent="0.2">
      <c r="A19" s="1206" t="s">
        <v>919</v>
      </c>
      <c r="B19" s="869">
        <f>1620970-96499</f>
        <v>1524471</v>
      </c>
      <c r="C19" s="357"/>
      <c r="D19" s="356"/>
    </row>
    <row r="20" spans="1:4" x14ac:dyDescent="0.2">
      <c r="A20" s="1206" t="s">
        <v>920</v>
      </c>
      <c r="B20" s="869">
        <v>628000</v>
      </c>
      <c r="C20" s="357"/>
      <c r="D20" s="356"/>
    </row>
    <row r="21" spans="1:4" x14ac:dyDescent="0.2">
      <c r="A21" s="1206" t="s">
        <v>914</v>
      </c>
      <c r="B21" s="869">
        <f>650000-250000</f>
        <v>400000</v>
      </c>
      <c r="C21" s="357"/>
      <c r="D21" s="356"/>
    </row>
    <row r="22" spans="1:4" x14ac:dyDescent="0.2">
      <c r="A22" s="1207" t="s">
        <v>513</v>
      </c>
      <c r="B22" s="869">
        <v>3712000</v>
      </c>
      <c r="C22" s="357"/>
      <c r="D22" s="356"/>
    </row>
    <row r="23" spans="1:4" x14ac:dyDescent="0.2">
      <c r="A23" s="1177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76" t="s">
        <v>747</v>
      </c>
      <c r="B28" s="1366">
        <f>6985000-361600-160000</f>
        <v>6463400</v>
      </c>
      <c r="C28" s="357"/>
      <c r="D28" s="356"/>
    </row>
    <row r="29" spans="1:4" x14ac:dyDescent="0.2">
      <c r="A29" s="1178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46">
        <f>SUM(B13:B31)</f>
        <v>81562228</v>
      </c>
    </row>
    <row r="33" spans="1:2" ht="16.5" thickBot="1" x14ac:dyDescent="0.3">
      <c r="A33" s="384" t="s">
        <v>364</v>
      </c>
      <c r="B33" s="385">
        <f>SUM(B11,B32)</f>
        <v>96367711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AH10" sqref="AH10"/>
    </sheetView>
  </sheetViews>
  <sheetFormatPr defaultRowHeight="15.75" x14ac:dyDescent="0.25"/>
  <cols>
    <col min="1" max="1" width="9" style="777" customWidth="1"/>
    <col min="2" max="2" width="67.1640625" style="777" bestFit="1" customWidth="1"/>
    <col min="3" max="3" width="16.5" style="792" customWidth="1"/>
    <col min="4" max="4" width="15.5" style="792" customWidth="1"/>
    <col min="5" max="7" width="15.5" style="792" hidden="1" customWidth="1"/>
    <col min="8" max="8" width="15.5" style="792" customWidth="1"/>
    <col min="9" max="9" width="14.33203125" style="776" hidden="1" customWidth="1"/>
    <col min="10" max="10" width="12.6640625" style="776" hidden="1" customWidth="1"/>
    <col min="11" max="11" width="14.33203125" style="776" hidden="1" customWidth="1"/>
    <col min="12" max="31" width="0" style="776" hidden="1" customWidth="1"/>
    <col min="32" max="16384" width="9.33203125" style="776"/>
  </cols>
  <sheetData>
    <row r="1" spans="1:13" x14ac:dyDescent="0.25">
      <c r="A1" s="1518" t="str">
        <f>CONCATENATE("33. melléklet"," ",ALAPADATOK!A7," ",ALAPADATOK!B7," ",ALAPADATOK!C7," ",ALAPADATOK!D7," ",ALAPADATOK!E7," ",ALAPADATOK!F7," ",ALAPADATOK!G7," ",ALAPADATOK!H7)</f>
        <v>33. melléklet a 15 / 2021. ( IX.30. ) önkormányzati rendelethez</v>
      </c>
      <c r="B1" s="1518"/>
      <c r="C1" s="1518"/>
      <c r="D1" s="1518"/>
      <c r="E1" s="1518"/>
      <c r="F1" s="1518"/>
      <c r="G1" s="1518"/>
      <c r="H1" s="1518"/>
    </row>
    <row r="2" spans="1:13" x14ac:dyDescent="0.25">
      <c r="H2" s="951" t="s">
        <v>782</v>
      </c>
    </row>
    <row r="3" spans="1:13" ht="35.25" customHeight="1" x14ac:dyDescent="0.25">
      <c r="A3" s="1519" t="s">
        <v>819</v>
      </c>
      <c r="B3" s="1520"/>
      <c r="C3" s="1520"/>
      <c r="D3" s="1520"/>
      <c r="E3" s="1520"/>
      <c r="F3" s="1520"/>
      <c r="G3" s="1520"/>
      <c r="H3" s="1520"/>
      <c r="M3" s="776" t="s">
        <v>819</v>
      </c>
    </row>
    <row r="5" spans="1:13" ht="15.95" customHeight="1" thickBot="1" x14ac:dyDescent="0.3">
      <c r="A5" s="1436" t="s">
        <v>1055</v>
      </c>
      <c r="B5" s="1436"/>
      <c r="C5" s="1436"/>
      <c r="D5" s="1436"/>
      <c r="E5" s="1436"/>
      <c r="F5" s="1436"/>
      <c r="G5" s="1436"/>
      <c r="H5" s="1436"/>
    </row>
    <row r="6" spans="1:13" ht="38.1" customHeight="1" thickBot="1" x14ac:dyDescent="0.3">
      <c r="A6" s="20" t="s">
        <v>64</v>
      </c>
      <c r="B6" s="21" t="s">
        <v>15</v>
      </c>
      <c r="C6" s="1074" t="s">
        <v>922</v>
      </c>
      <c r="D6" s="1074" t="s">
        <v>923</v>
      </c>
      <c r="E6" s="1086"/>
      <c r="F6" s="1086"/>
      <c r="G6" s="1086"/>
      <c r="H6" s="1088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110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110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121">
        <v>218098142</v>
      </c>
      <c r="D9" s="1111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122">
        <v>238466411</v>
      </c>
      <c r="D10" s="1112">
        <v>250568625</v>
      </c>
      <c r="E10" s="545">
        <v>218107294</v>
      </c>
      <c r="F10" s="546"/>
      <c r="G10" s="546"/>
      <c r="H10" s="290">
        <f>'1.1.sz.mell. '!C13</f>
        <v>263054630</v>
      </c>
      <c r="I10" s="864">
        <v>235351616</v>
      </c>
      <c r="J10" s="864"/>
      <c r="K10" s="864"/>
    </row>
    <row r="11" spans="1:13" s="268" customFormat="1" ht="12" customHeight="1" x14ac:dyDescent="0.2">
      <c r="A11" s="11" t="s">
        <v>88</v>
      </c>
      <c r="B11" s="282" t="s">
        <v>184</v>
      </c>
      <c r="C11" s="1122">
        <v>784493453</v>
      </c>
      <c r="D11" s="1112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64">
        <f>132342947+82528441+152850000+191583306+50232560+61299400+1796961+73694436</f>
        <v>746328051</v>
      </c>
      <c r="J11" s="864"/>
      <c r="K11" s="864"/>
    </row>
    <row r="12" spans="1:13" s="268" customFormat="1" ht="24" customHeight="1" x14ac:dyDescent="0.2">
      <c r="A12" s="11" t="s">
        <v>764</v>
      </c>
      <c r="B12" s="282" t="s">
        <v>767</v>
      </c>
      <c r="C12" s="1122">
        <v>0</v>
      </c>
      <c r="D12" s="1112">
        <v>616722342</v>
      </c>
      <c r="E12" s="545"/>
      <c r="F12" s="546"/>
      <c r="G12" s="546"/>
      <c r="H12" s="290">
        <f>'1.1.sz.mell. '!C15</f>
        <v>642804986</v>
      </c>
      <c r="I12" s="864"/>
      <c r="J12" s="864"/>
      <c r="K12" s="864"/>
    </row>
    <row r="13" spans="1:13" s="268" customFormat="1" ht="12" customHeight="1" x14ac:dyDescent="0.2">
      <c r="A13" s="11" t="s">
        <v>765</v>
      </c>
      <c r="B13" s="282" t="s">
        <v>768</v>
      </c>
      <c r="C13" s="1122">
        <v>0</v>
      </c>
      <c r="D13" s="1112">
        <v>177251308</v>
      </c>
      <c r="E13" s="545"/>
      <c r="F13" s="546"/>
      <c r="G13" s="546"/>
      <c r="H13" s="290">
        <f>'1.1.sz.mell. '!C16</f>
        <v>203397675</v>
      </c>
      <c r="I13" s="864"/>
      <c r="J13" s="864"/>
      <c r="K13" s="864"/>
    </row>
    <row r="14" spans="1:13" s="268" customFormat="1" ht="12" customHeight="1" x14ac:dyDescent="0.2">
      <c r="A14" s="11" t="s">
        <v>89</v>
      </c>
      <c r="B14" s="282" t="s">
        <v>185</v>
      </c>
      <c r="C14" s="1122">
        <v>34753573</v>
      </c>
      <c r="D14" s="1112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64">
        <f>4617241+15998620+12622000</f>
        <v>33237861</v>
      </c>
      <c r="J14" s="864"/>
      <c r="K14" s="864"/>
    </row>
    <row r="15" spans="1:13" s="268" customFormat="1" ht="12" customHeight="1" x14ac:dyDescent="0.2">
      <c r="A15" s="11" t="s">
        <v>112</v>
      </c>
      <c r="B15" s="388" t="s">
        <v>394</v>
      </c>
      <c r="C15" s="1122">
        <v>48323486</v>
      </c>
      <c r="D15" s="1112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64">
        <f>29417493+205313443</f>
        <v>234730936</v>
      </c>
      <c r="J15" s="864"/>
      <c r="K15" s="864"/>
    </row>
    <row r="16" spans="1:13" s="268" customFormat="1" ht="12" customHeight="1" thickBot="1" x14ac:dyDescent="0.25">
      <c r="A16" s="13" t="s">
        <v>90</v>
      </c>
      <c r="B16" s="389" t="s">
        <v>395</v>
      </c>
      <c r="C16" s="1123"/>
      <c r="D16" s="1113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30">
        <f>SUM(C18:C22)</f>
        <v>185927249</v>
      </c>
      <c r="D17" s="1114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358216768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121"/>
      <c r="D18" s="1111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122"/>
      <c r="D19" s="1112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122"/>
      <c r="D20" s="1112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122"/>
      <c r="D21" s="1112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122">
        <v>185927249</v>
      </c>
      <c r="D22" s="1112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358216768</v>
      </c>
      <c r="I22" s="865">
        <f>102792540+24250000+3975280+5670000+67037993</f>
        <v>203725813</v>
      </c>
      <c r="J22" s="864"/>
      <c r="K22" s="864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123">
        <f>44046085</f>
        <v>44046085</v>
      </c>
      <c r="D23" s="1113">
        <v>80120703</v>
      </c>
      <c r="E23" s="551"/>
      <c r="F23" s="552"/>
      <c r="G23" s="552"/>
      <c r="H23" s="409">
        <f>'1.1.sz.mell. '!C26</f>
        <v>131495850</v>
      </c>
      <c r="I23" s="866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30">
        <f>SUM(C25:C29)</f>
        <v>1026676989</v>
      </c>
      <c r="D24" s="1114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1512582898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121">
        <v>370138900</v>
      </c>
      <c r="D25" s="1111">
        <v>34619116</v>
      </c>
      <c r="E25" s="553"/>
      <c r="F25" s="554"/>
      <c r="G25" s="554"/>
      <c r="H25" s="408">
        <f>'1.1.sz.mell. '!C28</f>
        <v>1305000000</v>
      </c>
      <c r="I25" s="867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124"/>
      <c r="D26" s="1115"/>
      <c r="E26" s="545"/>
      <c r="F26" s="546"/>
      <c r="G26" s="546"/>
      <c r="H26" s="411">
        <f>'1.1.sz.mell. '!C29</f>
        <v>0</v>
      </c>
      <c r="I26" s="865"/>
      <c r="J26" s="864"/>
      <c r="K26" s="864"/>
    </row>
    <row r="27" spans="1:11" s="268" customFormat="1" ht="12" customHeight="1" x14ac:dyDescent="0.2">
      <c r="A27" s="11" t="s">
        <v>77</v>
      </c>
      <c r="B27" s="282" t="s">
        <v>356</v>
      </c>
      <c r="C27" s="1122"/>
      <c r="D27" s="1112"/>
      <c r="E27" s="545"/>
      <c r="F27" s="546"/>
      <c r="G27" s="546"/>
      <c r="H27" s="290">
        <f>'1.1.sz.mell. '!C30</f>
        <v>0</v>
      </c>
      <c r="I27" s="865"/>
      <c r="J27" s="864"/>
      <c r="K27" s="864"/>
    </row>
    <row r="28" spans="1:11" s="268" customFormat="1" ht="12" customHeight="1" x14ac:dyDescent="0.2">
      <c r="A28" s="11" t="s">
        <v>78</v>
      </c>
      <c r="B28" s="282" t="s">
        <v>357</v>
      </c>
      <c r="C28" s="1122"/>
      <c r="D28" s="1112"/>
      <c r="E28" s="545"/>
      <c r="F28" s="546"/>
      <c r="G28" s="546"/>
      <c r="H28" s="290">
        <f>'1.1.sz.mell. '!C31</f>
        <v>0</v>
      </c>
      <c r="I28" s="865"/>
      <c r="J28" s="864"/>
      <c r="K28" s="864"/>
    </row>
    <row r="29" spans="1:11" s="268" customFormat="1" ht="12" customHeight="1" x14ac:dyDescent="0.2">
      <c r="A29" s="11" t="s">
        <v>123</v>
      </c>
      <c r="B29" s="282" t="s">
        <v>194</v>
      </c>
      <c r="C29" s="1122">
        <v>656538089</v>
      </c>
      <c r="D29" s="1112">
        <v>248777064</v>
      </c>
      <c r="E29" s="545">
        <f>3797300-15179276</f>
        <v>-11381976</v>
      </c>
      <c r="F29" s="546"/>
      <c r="G29" s="546"/>
      <c r="H29" s="290">
        <f>'1.1.sz.mell. '!C32</f>
        <v>207582898</v>
      </c>
      <c r="I29" s="865">
        <f>5596040+25377271+3487179+47949076</f>
        <v>82409566</v>
      </c>
      <c r="J29" s="864"/>
      <c r="K29" s="864"/>
    </row>
    <row r="30" spans="1:11" s="268" customFormat="1" ht="12" customHeight="1" thickBot="1" x14ac:dyDescent="0.25">
      <c r="A30" s="13" t="s">
        <v>124</v>
      </c>
      <c r="B30" s="283" t="s">
        <v>195</v>
      </c>
      <c r="C30" s="1123">
        <v>647953089</v>
      </c>
      <c r="D30" s="1113">
        <v>239136377</v>
      </c>
      <c r="E30" s="551">
        <v>3797300</v>
      </c>
      <c r="F30" s="552"/>
      <c r="G30" s="552"/>
      <c r="H30" s="409">
        <f>'1.1.sz.mell. '!C33</f>
        <v>80423773</v>
      </c>
      <c r="I30" s="866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30">
        <f>C32+C35+C36+C37+C38</f>
        <v>470233739</v>
      </c>
      <c r="D31" s="1114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9">
        <f>SUM(C33:C34)</f>
        <v>424778074</v>
      </c>
      <c r="D32" s="1116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122">
        <v>81767339</v>
      </c>
      <c r="D33" s="1112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122">
        <v>343010735</v>
      </c>
      <c r="D34" s="1112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122">
        <v>39072</v>
      </c>
      <c r="D35" s="1112">
        <v>914</v>
      </c>
      <c r="E35" s="545"/>
      <c r="F35" s="546"/>
      <c r="G35" s="546"/>
      <c r="H35" s="289">
        <f>'1.1.sz.mell. '!C38</f>
        <v>0</v>
      </c>
      <c r="I35" s="865"/>
      <c r="J35" s="864"/>
      <c r="K35" s="864"/>
    </row>
    <row r="36" spans="1:11" s="268" customFormat="1" ht="12" customHeight="1" x14ac:dyDescent="0.2">
      <c r="A36" s="11" t="s">
        <v>480</v>
      </c>
      <c r="B36" s="282" t="s">
        <v>204</v>
      </c>
      <c r="C36" s="1122">
        <v>31727403</v>
      </c>
      <c r="D36" s="1112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122">
        <v>158400</v>
      </c>
      <c r="D37" s="1112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123">
        <v>13530790</v>
      </c>
      <c r="D38" s="1113">
        <v>12014797</v>
      </c>
      <c r="E38" s="551">
        <v>5500000</v>
      </c>
      <c r="F38" s="552"/>
      <c r="G38" s="552"/>
      <c r="H38" s="409">
        <f>'1.1.sz.mell. '!C40</f>
        <v>13520000</v>
      </c>
      <c r="I38" s="866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30">
        <f>SUM(C40:C50)</f>
        <v>314593205</v>
      </c>
      <c r="D39" s="1114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367517639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121">
        <v>8179095</v>
      </c>
      <c r="D40" s="1111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7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122">
        <v>77258808</v>
      </c>
      <c r="D41" s="1112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67234315</v>
      </c>
      <c r="I41" s="865">
        <f>15901900+787402+500000</f>
        <v>17189302</v>
      </c>
      <c r="J41" s="864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122">
        <v>17781177</v>
      </c>
      <c r="D42" s="1112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5">
        <f>20000+6000000+700000+1000000+1109692</f>
        <v>8829692</v>
      </c>
      <c r="J42" s="864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122">
        <v>965935</v>
      </c>
      <c r="D43" s="1112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5">
        <f>440000+300000</f>
        <v>740000</v>
      </c>
      <c r="J43" s="864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122">
        <v>175322036</v>
      </c>
      <c r="D44" s="1112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5"/>
      <c r="J44" s="864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122">
        <v>21427421</v>
      </c>
      <c r="D45" s="1112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5">
        <f>5400+1993957+12052638+212598+189000+2801434+333450+135000</f>
        <v>17723477</v>
      </c>
      <c r="J45" s="864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122">
        <v>7222000</v>
      </c>
      <c r="D46" s="1112">
        <v>2550000</v>
      </c>
      <c r="E46" s="545"/>
      <c r="F46" s="546"/>
      <c r="G46" s="544">
        <v>21034000</v>
      </c>
      <c r="H46" s="290">
        <f>'1.1.sz.mell. '!C48</f>
        <v>37770645</v>
      </c>
      <c r="I46" s="865"/>
      <c r="J46" s="864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122">
        <v>167</v>
      </c>
      <c r="D47" s="1112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5"/>
      <c r="J47" s="864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122"/>
      <c r="D48" s="1112"/>
      <c r="E48" s="545"/>
      <c r="F48" s="546"/>
      <c r="G48" s="544"/>
      <c r="H48" s="290">
        <f>'1.1.sz.mell. '!C50</f>
        <v>0</v>
      </c>
      <c r="I48" s="865"/>
      <c r="J48" s="864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122">
        <v>1209667</v>
      </c>
      <c r="D49" s="1112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6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123">
        <v>5226899</v>
      </c>
      <c r="D50" s="1113">
        <v>34952667</v>
      </c>
      <c r="E50" s="551">
        <f>704000</f>
        <v>704000</v>
      </c>
      <c r="F50" s="552">
        <v>100000</v>
      </c>
      <c r="G50" s="544"/>
      <c r="H50" s="409">
        <f>'1.1.sz.mell. '!C52</f>
        <v>1681777</v>
      </c>
      <c r="I50" s="866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30">
        <f>SUM(C52:C56)</f>
        <v>5525134</v>
      </c>
      <c r="D51" s="1114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25"/>
      <c r="D52" s="1117"/>
      <c r="E52" s="543"/>
      <c r="F52" s="544"/>
      <c r="G52" s="544"/>
      <c r="H52" s="410">
        <f>'1.1.sz.mell. '!C54</f>
        <v>0</v>
      </c>
      <c r="I52" s="867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122">
        <v>5202984</v>
      </c>
      <c r="D53" s="1112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5">
        <f>21787500</f>
        <v>21787500</v>
      </c>
      <c r="J53" s="864"/>
      <c r="K53" s="864"/>
    </row>
    <row r="54" spans="1:11" s="268" customFormat="1" ht="12" customHeight="1" x14ac:dyDescent="0.2">
      <c r="A54" s="11" t="s">
        <v>220</v>
      </c>
      <c r="B54" s="282" t="s">
        <v>225</v>
      </c>
      <c r="C54" s="1122">
        <v>177050</v>
      </c>
      <c r="D54" s="1112">
        <v>44541</v>
      </c>
      <c r="E54" s="545"/>
      <c r="F54" s="546"/>
      <c r="G54" s="546"/>
      <c r="H54" s="290">
        <f>'1.1.sz.mell. '!C56</f>
        <v>0</v>
      </c>
      <c r="I54" s="865"/>
      <c r="J54" s="864">
        <f>300000</f>
        <v>300000</v>
      </c>
      <c r="K54" s="864"/>
    </row>
    <row r="55" spans="1:11" s="268" customFormat="1" ht="12" customHeight="1" x14ac:dyDescent="0.2">
      <c r="A55" s="11" t="s">
        <v>221</v>
      </c>
      <c r="B55" s="282" t="s">
        <v>226</v>
      </c>
      <c r="C55" s="1122"/>
      <c r="D55" s="1112"/>
      <c r="E55" s="545"/>
      <c r="F55" s="546"/>
      <c r="G55" s="546"/>
      <c r="H55" s="290">
        <f>'1.1.sz.mell. '!C57</f>
        <v>0</v>
      </c>
      <c r="I55" s="865"/>
      <c r="J55" s="864"/>
      <c r="K55" s="864"/>
    </row>
    <row r="56" spans="1:11" s="268" customFormat="1" ht="12" customHeight="1" thickBot="1" x14ac:dyDescent="0.25">
      <c r="A56" s="13" t="s">
        <v>222</v>
      </c>
      <c r="B56" s="389" t="s">
        <v>227</v>
      </c>
      <c r="C56" s="1123">
        <v>145100</v>
      </c>
      <c r="D56" s="1113">
        <v>330000</v>
      </c>
      <c r="E56" s="551"/>
      <c r="F56" s="552"/>
      <c r="G56" s="552"/>
      <c r="H56" s="412">
        <f>'1.1.sz.mell. '!C58</f>
        <v>0</v>
      </c>
      <c r="I56" s="866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30">
        <f>SUM(C58:C60)</f>
        <v>18124157</v>
      </c>
      <c r="D57" s="1114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11474000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26"/>
      <c r="D58" s="1118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122">
        <v>15332864</v>
      </c>
      <c r="D59" s="1112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5">
        <f>480000</f>
        <v>480000</v>
      </c>
      <c r="J59" s="864"/>
      <c r="K59" s="864"/>
    </row>
    <row r="60" spans="1:11" s="268" customFormat="1" ht="12" customHeight="1" x14ac:dyDescent="0.2">
      <c r="A60" s="11" t="s">
        <v>232</v>
      </c>
      <c r="B60" s="282" t="s">
        <v>230</v>
      </c>
      <c r="C60" s="1122">
        <v>2791293</v>
      </c>
      <c r="D60" s="1112">
        <v>1954048</v>
      </c>
      <c r="E60" s="545">
        <f>4075000+140433</f>
        <v>4215433</v>
      </c>
      <c r="F60" s="546"/>
      <c r="G60" s="546"/>
      <c r="H60" s="290">
        <f>'1.1.sz.mell. '!C62</f>
        <v>10274000</v>
      </c>
      <c r="I60" s="865">
        <f>950000</f>
        <v>950000</v>
      </c>
      <c r="J60" s="864"/>
      <c r="K60" s="864"/>
    </row>
    <row r="61" spans="1:11" s="268" customFormat="1" ht="12" customHeight="1" thickBot="1" x14ac:dyDescent="0.25">
      <c r="A61" s="13" t="s">
        <v>233</v>
      </c>
      <c r="B61" s="389" t="s">
        <v>231</v>
      </c>
      <c r="C61" s="1123"/>
      <c r="D61" s="1113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30">
        <f>SUM(C63:C65)</f>
        <v>0</v>
      </c>
      <c r="D62" s="1114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25"/>
      <c r="D63" s="1117"/>
      <c r="E63" s="545"/>
      <c r="F63" s="546"/>
      <c r="G63" s="546"/>
      <c r="H63" s="410">
        <f>'1.1.sz.mell. '!C65</f>
        <v>0</v>
      </c>
      <c r="I63" s="865"/>
      <c r="J63" s="864"/>
      <c r="K63" s="864"/>
    </row>
    <row r="64" spans="1:11" s="268" customFormat="1" ht="12" customHeight="1" x14ac:dyDescent="0.2">
      <c r="A64" s="11" t="s">
        <v>134</v>
      </c>
      <c r="B64" s="282" t="s">
        <v>359</v>
      </c>
      <c r="C64" s="1124"/>
      <c r="D64" s="1115"/>
      <c r="E64" s="545"/>
      <c r="F64" s="546"/>
      <c r="G64" s="546"/>
      <c r="H64" s="411">
        <f>'1.1.sz.mell. '!C66</f>
        <v>0</v>
      </c>
      <c r="I64" s="865"/>
      <c r="J64" s="864"/>
      <c r="K64" s="864"/>
    </row>
    <row r="65" spans="1:11" s="268" customFormat="1" ht="12" customHeight="1" x14ac:dyDescent="0.2">
      <c r="A65" s="11" t="s">
        <v>160</v>
      </c>
      <c r="B65" s="282" t="s">
        <v>237</v>
      </c>
      <c r="C65" s="1124"/>
      <c r="D65" s="1115">
        <v>11510400</v>
      </c>
      <c r="E65" s="545"/>
      <c r="F65" s="546"/>
      <c r="G65" s="546"/>
      <c r="H65" s="411">
        <f>'1.1.sz.mell. '!C67</f>
        <v>250000</v>
      </c>
      <c r="I65" s="865"/>
      <c r="J65" s="864"/>
      <c r="K65" s="864"/>
    </row>
    <row r="66" spans="1:11" s="268" customFormat="1" ht="12" customHeight="1" thickBot="1" x14ac:dyDescent="0.25">
      <c r="A66" s="13" t="s">
        <v>235</v>
      </c>
      <c r="B66" s="389" t="s">
        <v>238</v>
      </c>
      <c r="C66" s="1127"/>
      <c r="D66" s="1119">
        <v>5060400</v>
      </c>
      <c r="E66" s="545"/>
      <c r="F66" s="546"/>
      <c r="G66" s="546"/>
      <c r="H66" s="412">
        <f>'1.1.sz.mell. '!C68</f>
        <v>0</v>
      </c>
      <c r="I66" s="865"/>
      <c r="J66" s="864"/>
      <c r="K66" s="864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4364137273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868562529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121">
        <v>30020437</v>
      </c>
      <c r="D69" s="1111">
        <v>21319241</v>
      </c>
      <c r="E69" s="545">
        <v>44100000</v>
      </c>
      <c r="F69" s="546"/>
      <c r="G69" s="546"/>
      <c r="H69" s="408">
        <f>'1.1.sz.mell. '!C71</f>
        <v>18562529</v>
      </c>
      <c r="I69" s="865">
        <f>69269106</f>
        <v>69269106</v>
      </c>
      <c r="J69" s="864"/>
      <c r="K69" s="864"/>
    </row>
    <row r="70" spans="1:11" s="268" customFormat="1" ht="12" customHeight="1" x14ac:dyDescent="0.2">
      <c r="A70" s="11" t="s">
        <v>281</v>
      </c>
      <c r="B70" s="282" t="s">
        <v>243</v>
      </c>
      <c r="C70" s="1122"/>
      <c r="D70" s="1112">
        <v>821155240</v>
      </c>
      <c r="E70" s="545">
        <v>100000000</v>
      </c>
      <c r="F70" s="546"/>
      <c r="G70" s="546"/>
      <c r="H70" s="290">
        <f>'1.1.sz.mell. '!C72</f>
        <v>850000000</v>
      </c>
      <c r="I70" s="865">
        <v>100000000</v>
      </c>
      <c r="J70" s="864"/>
      <c r="K70" s="864"/>
    </row>
    <row r="71" spans="1:11" s="268" customFormat="1" ht="12" customHeight="1" thickBot="1" x14ac:dyDescent="0.25">
      <c r="A71" s="13" t="s">
        <v>282</v>
      </c>
      <c r="B71" s="391" t="s">
        <v>400</v>
      </c>
      <c r="C71" s="1127"/>
      <c r="D71" s="1119"/>
      <c r="E71" s="545"/>
      <c r="F71" s="546"/>
      <c r="G71" s="546"/>
      <c r="H71" s="412">
        <f>'1.1.sz.mell. '!C73</f>
        <v>0</v>
      </c>
      <c r="I71" s="865"/>
      <c r="J71" s="864"/>
      <c r="K71" s="864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120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25"/>
      <c r="D73" s="1117"/>
      <c r="E73" s="545"/>
      <c r="F73" s="546"/>
      <c r="G73" s="546"/>
      <c r="H73" s="410">
        <f>'1.1.sz.mell. '!C75</f>
        <v>0</v>
      </c>
      <c r="I73" s="865"/>
      <c r="J73" s="864"/>
      <c r="K73" s="864"/>
    </row>
    <row r="74" spans="1:11" s="268" customFormat="1" ht="17.25" customHeight="1" x14ac:dyDescent="0.2">
      <c r="A74" s="11" t="s">
        <v>114</v>
      </c>
      <c r="B74" s="282" t="s">
        <v>248</v>
      </c>
      <c r="C74" s="1124"/>
      <c r="D74" s="1115"/>
      <c r="E74" s="545"/>
      <c r="F74" s="546"/>
      <c r="G74" s="546"/>
      <c r="H74" s="411">
        <f>'1.1.sz.mell. '!C76</f>
        <v>0</v>
      </c>
      <c r="I74" s="865"/>
      <c r="J74" s="864"/>
      <c r="K74" s="864"/>
    </row>
    <row r="75" spans="1:11" s="268" customFormat="1" ht="12" customHeight="1" x14ac:dyDescent="0.2">
      <c r="A75" s="11" t="s">
        <v>273</v>
      </c>
      <c r="B75" s="282" t="s">
        <v>249</v>
      </c>
      <c r="C75" s="1124"/>
      <c r="D75" s="1115"/>
      <c r="E75" s="545"/>
      <c r="F75" s="546"/>
      <c r="G75" s="546"/>
      <c r="H75" s="411">
        <f>'1.1.sz.mell. '!C77</f>
        <v>0</v>
      </c>
      <c r="I75" s="865"/>
      <c r="J75" s="864"/>
      <c r="K75" s="864"/>
    </row>
    <row r="76" spans="1:11" s="268" customFormat="1" ht="12" customHeight="1" thickBot="1" x14ac:dyDescent="0.25">
      <c r="A76" s="13" t="s">
        <v>274</v>
      </c>
      <c r="B76" s="389" t="s">
        <v>250</v>
      </c>
      <c r="C76" s="1127"/>
      <c r="D76" s="1119"/>
      <c r="E76" s="545"/>
      <c r="F76" s="546"/>
      <c r="G76" s="546"/>
      <c r="H76" s="412">
        <f>'1.1.sz.mell. '!C78</f>
        <v>0</v>
      </c>
      <c r="I76" s="865"/>
      <c r="J76" s="864"/>
      <c r="K76" s="864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121">
        <v>367267935</v>
      </c>
      <c r="D78" s="1111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5">
        <f>346583469</f>
        <v>346583469</v>
      </c>
      <c r="J78" s="864">
        <f>829764</f>
        <v>829764</v>
      </c>
      <c r="K78" s="864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27"/>
      <c r="D79" s="1119"/>
      <c r="E79" s="545"/>
      <c r="F79" s="546"/>
      <c r="G79" s="546"/>
      <c r="H79" s="412">
        <f>'1.1.sz.mell. '!C81</f>
        <v>0</v>
      </c>
      <c r="I79" s="865"/>
      <c r="J79" s="864"/>
      <c r="K79" s="864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121">
        <v>45672254</v>
      </c>
      <c r="D81" s="1111">
        <v>48966750</v>
      </c>
      <c r="E81" s="545"/>
      <c r="F81" s="546"/>
      <c r="G81" s="546"/>
      <c r="H81" s="410">
        <f>'1.1.sz.mell. '!C83</f>
        <v>48966750</v>
      </c>
      <c r="I81" s="865"/>
      <c r="J81" s="864"/>
      <c r="K81" s="864"/>
    </row>
    <row r="82" spans="1:11" s="268" customFormat="1" ht="12" customHeight="1" x14ac:dyDescent="0.2">
      <c r="A82" s="11" t="s">
        <v>278</v>
      </c>
      <c r="B82" s="282" t="s">
        <v>258</v>
      </c>
      <c r="C82" s="1124"/>
      <c r="D82" s="1115"/>
      <c r="E82" s="545"/>
      <c r="F82" s="546"/>
      <c r="G82" s="546"/>
      <c r="H82" s="411">
        <f>'1.1.sz.mell. '!C84</f>
        <v>0</v>
      </c>
      <c r="I82" s="865"/>
      <c r="J82" s="864"/>
      <c r="K82" s="864"/>
    </row>
    <row r="83" spans="1:11" s="268" customFormat="1" ht="12" customHeight="1" thickBot="1" x14ac:dyDescent="0.25">
      <c r="A83" s="13" t="s">
        <v>279</v>
      </c>
      <c r="B83" s="389" t="s">
        <v>259</v>
      </c>
      <c r="C83" s="1127"/>
      <c r="D83" s="1119"/>
      <c r="E83" s="545"/>
      <c r="F83" s="546"/>
      <c r="G83" s="546"/>
      <c r="H83" s="412">
        <f>'1.1.sz.mell. '!C85</f>
        <v>0</v>
      </c>
      <c r="I83" s="865"/>
      <c r="J83" s="864"/>
      <c r="K83" s="864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120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25"/>
      <c r="D85" s="1117"/>
      <c r="E85" s="545"/>
      <c r="F85" s="546"/>
      <c r="G85" s="546"/>
      <c r="H85" s="410">
        <f>'1.1.sz.mell. '!C87</f>
        <v>0</v>
      </c>
      <c r="I85" s="865"/>
      <c r="J85" s="864"/>
      <c r="K85" s="864"/>
    </row>
    <row r="86" spans="1:11" s="268" customFormat="1" ht="12" customHeight="1" x14ac:dyDescent="0.2">
      <c r="A86" s="189" t="s">
        <v>263</v>
      </c>
      <c r="B86" s="282" t="s">
        <v>264</v>
      </c>
      <c r="C86" s="1124"/>
      <c r="D86" s="1115"/>
      <c r="E86" s="545"/>
      <c r="F86" s="546"/>
      <c r="G86" s="546"/>
      <c r="H86" s="411">
        <f>'1.1.sz.mell. '!C88</f>
        <v>0</v>
      </c>
      <c r="I86" s="865"/>
      <c r="J86" s="864"/>
      <c r="K86" s="864"/>
    </row>
    <row r="87" spans="1:11" s="268" customFormat="1" ht="12" customHeight="1" x14ac:dyDescent="0.2">
      <c r="A87" s="189" t="s">
        <v>265</v>
      </c>
      <c r="B87" s="282" t="s">
        <v>266</v>
      </c>
      <c r="C87" s="1124"/>
      <c r="D87" s="1115"/>
      <c r="E87" s="545"/>
      <c r="F87" s="546"/>
      <c r="G87" s="546"/>
      <c r="H87" s="411">
        <f>'1.1.sz.mell. '!C89</f>
        <v>0</v>
      </c>
      <c r="I87" s="865"/>
      <c r="J87" s="864"/>
      <c r="K87" s="864"/>
    </row>
    <row r="88" spans="1:11" s="268" customFormat="1" ht="12" customHeight="1" thickBot="1" x14ac:dyDescent="0.25">
      <c r="A88" s="190" t="s">
        <v>267</v>
      </c>
      <c r="B88" s="389" t="s">
        <v>268</v>
      </c>
      <c r="C88" s="1127"/>
      <c r="D88" s="1119"/>
      <c r="E88" s="545"/>
      <c r="F88" s="546"/>
      <c r="G88" s="546"/>
      <c r="H88" s="412">
        <f>'1.1.sz.mell. '!C90</f>
        <v>0</v>
      </c>
      <c r="I88" s="865"/>
      <c r="J88" s="864"/>
      <c r="K88" s="864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1774011918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6138149191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36" t="s">
        <v>44</v>
      </c>
      <c r="B93" s="1436"/>
      <c r="C93" s="1436"/>
      <c r="D93" s="1436"/>
      <c r="E93" s="1436"/>
      <c r="F93" s="1436"/>
      <c r="G93" s="1436"/>
      <c r="H93" s="1436"/>
    </row>
    <row r="94" spans="1:11" s="268" customFormat="1" ht="36.75" customHeight="1" thickBot="1" x14ac:dyDescent="0.25">
      <c r="A94" s="20" t="s">
        <v>14</v>
      </c>
      <c r="B94" s="405" t="s">
        <v>45</v>
      </c>
      <c r="C94" s="1074" t="str">
        <f t="shared" ref="C94:H94" si="0">C6</f>
        <v>2019. évi tény</v>
      </c>
      <c r="D94" s="1074" t="str">
        <f t="shared" si="0"/>
        <v>2020. évi várható adat</v>
      </c>
      <c r="E94" s="1074">
        <f t="shared" si="0"/>
        <v>0</v>
      </c>
      <c r="F94" s="1074">
        <f t="shared" si="0"/>
        <v>0</v>
      </c>
      <c r="G94" s="1074">
        <f t="shared" si="0"/>
        <v>0</v>
      </c>
      <c r="H94" s="1074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72">
        <f>SUM(C97:C101,C114)</f>
        <v>2286219244</v>
      </c>
      <c r="D96" s="1072">
        <f>SUM(D97:D101,D114)</f>
        <v>2234422838</v>
      </c>
      <c r="E96" s="1081"/>
      <c r="F96" s="1083"/>
      <c r="G96" s="1072"/>
      <c r="H96" s="1090">
        <f>'1.1.sz.mell. '!C99</f>
        <v>3019021440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28">
        <v>1036807081</v>
      </c>
      <c r="D97" s="1075">
        <v>1107374684</v>
      </c>
      <c r="E97" s="1087"/>
      <c r="F97" s="1091"/>
      <c r="G97" s="1091"/>
      <c r="H97" s="1099">
        <f>'1.1.sz.mell. '!C100</f>
        <v>1258181723</v>
      </c>
      <c r="I97" s="868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29">
        <v>207856870</v>
      </c>
      <c r="D98" s="1097">
        <v>200144461</v>
      </c>
      <c r="E98" s="1092"/>
      <c r="F98" s="1098"/>
      <c r="G98" s="1098"/>
      <c r="H98" s="1099">
        <f>'1.1.sz.mell. '!C101</f>
        <v>213032145</v>
      </c>
      <c r="I98" s="865">
        <f>4364055+1409889+7817+2684650+14227+10944+444000+1007723</f>
        <v>9943305</v>
      </c>
      <c r="J98" s="864">
        <f>30406649+133681+815187</f>
        <v>31355517</v>
      </c>
      <c r="K98" s="864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29">
        <v>803850676</v>
      </c>
      <c r="D99" s="1097">
        <v>742294097</v>
      </c>
      <c r="E99" s="1095"/>
      <c r="F99" s="1073"/>
      <c r="G99" s="1098"/>
      <c r="H99" s="1099">
        <f>'1.1.sz.mell. '!C102</f>
        <v>1142101731</v>
      </c>
      <c r="I99" s="86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64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29">
        <v>47275053</v>
      </c>
      <c r="D100" s="1097">
        <v>46911174</v>
      </c>
      <c r="E100" s="1095"/>
      <c r="F100" s="1073"/>
      <c r="G100" s="1073"/>
      <c r="H100" s="1099">
        <f>'1.1.sz.mell. '!C103</f>
        <v>56500000</v>
      </c>
      <c r="I100" s="866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68">
        <f>SUM(C102:C113)</f>
        <v>190429564</v>
      </c>
      <c r="D101" s="1068">
        <f>SUM(D102:D113)</f>
        <v>137698422</v>
      </c>
      <c r="E101" s="1068">
        <f>SUM(E102:E113)</f>
        <v>0</v>
      </c>
      <c r="F101" s="1068">
        <f>SUM(F102:F113)</f>
        <v>0</v>
      </c>
      <c r="G101" s="1068">
        <f>SUM(G102:G113)</f>
        <v>0</v>
      </c>
      <c r="H101" s="1068">
        <f>'1.1.sz.mell. '!C104</f>
        <v>252838130</v>
      </c>
      <c r="I101" s="866">
        <f>SUM(I102:I113)</f>
        <v>219979003</v>
      </c>
      <c r="J101" s="866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29">
        <v>9463052</v>
      </c>
      <c r="D102" s="1097">
        <v>792176</v>
      </c>
      <c r="E102" s="1095"/>
      <c r="F102" s="1073"/>
      <c r="G102" s="1073"/>
      <c r="H102" s="1099">
        <f>'1.1.sz.mell. '!C105</f>
        <v>17242997</v>
      </c>
      <c r="I102" s="866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29"/>
      <c r="D103" s="1097"/>
      <c r="E103" s="1095"/>
      <c r="F103" s="1073"/>
      <c r="G103" s="1073"/>
      <c r="H103" s="1099">
        <f>'1.1.sz.mell. '!C106</f>
        <v>0</v>
      </c>
      <c r="I103" s="866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29"/>
      <c r="D104" s="1097"/>
      <c r="E104" s="1095"/>
      <c r="F104" s="1073"/>
      <c r="G104" s="1073"/>
      <c r="H104" s="1099">
        <f>'1.1.sz.mell. '!C107</f>
        <v>24566831</v>
      </c>
      <c r="I104" s="866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29"/>
      <c r="D105" s="1097"/>
      <c r="E105" s="1095"/>
      <c r="F105" s="1073"/>
      <c r="G105" s="1073"/>
      <c r="H105" s="1099">
        <f>'1.1.sz.mell. '!C108</f>
        <v>0</v>
      </c>
      <c r="I105" s="866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29"/>
      <c r="D106" s="1097"/>
      <c r="E106" s="1095"/>
      <c r="F106" s="1073"/>
      <c r="G106" s="1073"/>
      <c r="H106" s="1099">
        <f>'1.1.sz.mell. '!C109</f>
        <v>0</v>
      </c>
      <c r="I106" s="866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29"/>
      <c r="D107" s="1097"/>
      <c r="E107" s="1095"/>
      <c r="F107" s="1073"/>
      <c r="G107" s="1073"/>
      <c r="H107" s="1099">
        <f>'1.1.sz.mell. '!C110</f>
        <v>0</v>
      </c>
      <c r="I107" s="866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29">
        <v>4012934</v>
      </c>
      <c r="D108" s="1097">
        <v>1352500</v>
      </c>
      <c r="E108" s="1095"/>
      <c r="F108" s="1073"/>
      <c r="G108" s="1073"/>
      <c r="H108" s="1099">
        <f>'1.1.sz.mell. '!C111</f>
        <v>672323</v>
      </c>
      <c r="I108" s="866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29"/>
      <c r="D109" s="1097"/>
      <c r="E109" s="1095"/>
      <c r="F109" s="1073"/>
      <c r="G109" s="1073"/>
      <c r="H109" s="1099">
        <f>'1.1.sz.mell. '!C112</f>
        <v>0</v>
      </c>
      <c r="I109" s="866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29">
        <v>15400000</v>
      </c>
      <c r="D110" s="1097"/>
      <c r="E110" s="1095"/>
      <c r="F110" s="1073"/>
      <c r="G110" s="1073"/>
      <c r="H110" s="1099">
        <f>'1.1.sz.mell. '!C113</f>
        <v>0</v>
      </c>
      <c r="I110" s="866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29"/>
      <c r="D111" s="1097"/>
      <c r="E111" s="1095"/>
      <c r="F111" s="1073"/>
      <c r="G111" s="1073"/>
      <c r="H111" s="1099">
        <f>'1.1.sz.mell. '!C114</f>
        <v>0</v>
      </c>
      <c r="I111" s="866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29"/>
      <c r="D112" s="1097"/>
      <c r="E112" s="1095"/>
      <c r="F112" s="1073"/>
      <c r="G112" s="1073"/>
      <c r="H112" s="1099">
        <f>'1.1.sz.mell. '!C115</f>
        <v>0</v>
      </c>
      <c r="I112" s="866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29">
        <v>161553578</v>
      </c>
      <c r="D113" s="1097">
        <v>135553746</v>
      </c>
      <c r="E113" s="1092"/>
      <c r="F113" s="1098"/>
      <c r="G113" s="1073"/>
      <c r="H113" s="1099">
        <f>'1.1.sz.mell. '!C116</f>
        <v>210355979</v>
      </c>
      <c r="I113" s="865">
        <f>1000000+47869145+6604733+15489215+46984511+23326783+69312000+7332000+1437616</f>
        <v>219356003</v>
      </c>
      <c r="J113" s="864"/>
      <c r="K113" s="173"/>
    </row>
    <row r="114" spans="1:11" ht="12" customHeight="1" x14ac:dyDescent="0.25">
      <c r="A114" s="11" t="s">
        <v>410</v>
      </c>
      <c r="B114" s="399" t="s">
        <v>47</v>
      </c>
      <c r="C114" s="1129"/>
      <c r="D114" s="1097"/>
      <c r="E114" s="1092"/>
      <c r="F114" s="1098"/>
      <c r="G114" s="1098"/>
      <c r="H114" s="1099">
        <f>'1.1.sz.mell. '!C117</f>
        <v>96367711</v>
      </c>
      <c r="I114" s="865">
        <f>SUM(I115:I116)</f>
        <v>78390965</v>
      </c>
      <c r="J114" s="865">
        <f>SUM(J115:J116)</f>
        <v>0</v>
      </c>
      <c r="K114" s="864"/>
    </row>
    <row r="115" spans="1:11" ht="12" customHeight="1" x14ac:dyDescent="0.25">
      <c r="A115" s="11" t="s">
        <v>411</v>
      </c>
      <c r="B115" s="396" t="s">
        <v>412</v>
      </c>
      <c r="C115" s="1129"/>
      <c r="D115" s="1097"/>
      <c r="E115" s="1095"/>
      <c r="F115" s="1073"/>
      <c r="G115" s="1098"/>
      <c r="H115" s="1099">
        <f>'1.1.sz.mell. '!C118</f>
        <v>14805483</v>
      </c>
      <c r="I115" s="866">
        <v>15000000</v>
      </c>
      <c r="J115" s="173"/>
      <c r="K115" s="864"/>
    </row>
    <row r="116" spans="1:11" ht="12" customHeight="1" thickBot="1" x14ac:dyDescent="0.3">
      <c r="A116" s="15" t="s">
        <v>413</v>
      </c>
      <c r="B116" s="400" t="s">
        <v>414</v>
      </c>
      <c r="C116" s="1130"/>
      <c r="D116" s="1089"/>
      <c r="E116" s="1076"/>
      <c r="F116" s="1094"/>
      <c r="G116" s="1094"/>
      <c r="H116" s="1099">
        <f>'1.1.sz.mell. '!C119</f>
        <v>81562228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72">
        <f>C118+C120+C122</f>
        <v>478464804</v>
      </c>
      <c r="D117" s="1072">
        <f>D118+D120+D122</f>
        <v>401828104</v>
      </c>
      <c r="E117" s="1070"/>
      <c r="F117" s="1077"/>
      <c r="G117" s="1096"/>
      <c r="H117" s="1093">
        <f>'1.1.sz.mell. '!C120</f>
        <v>2195167254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31">
        <v>211704361</v>
      </c>
      <c r="D118" s="1075">
        <v>223119190</v>
      </c>
      <c r="E118" s="1071"/>
      <c r="F118" s="1084"/>
      <c r="G118" s="1084"/>
      <c r="H118" s="1099">
        <f>'1.1.sz.mell. '!C121</f>
        <v>547942176</v>
      </c>
      <c r="I118" s="867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29"/>
      <c r="D119" s="1097"/>
      <c r="E119" s="1071"/>
      <c r="F119" s="1084"/>
      <c r="G119" s="1084"/>
      <c r="H119" s="1099">
        <f>'1.1.sz.mell. '!C122</f>
        <v>260190536</v>
      </c>
      <c r="I119" s="867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29">
        <v>259516521</v>
      </c>
      <c r="D120" s="1097">
        <v>174642005</v>
      </c>
      <c r="E120" s="1092"/>
      <c r="F120" s="1098"/>
      <c r="G120" s="1098"/>
      <c r="H120" s="1099">
        <f>'1.1.sz.mell. '!C123</f>
        <v>1641313272</v>
      </c>
      <c r="I120" s="865">
        <f>9517731+51474577+42450993+1905000</f>
        <v>105348301</v>
      </c>
      <c r="J120" s="864"/>
      <c r="K120" s="864">
        <v>965200</v>
      </c>
    </row>
    <row r="121" spans="1:11" ht="12" customHeight="1" x14ac:dyDescent="0.25">
      <c r="A121" s="12" t="s">
        <v>95</v>
      </c>
      <c r="B121" s="397" t="s">
        <v>300</v>
      </c>
      <c r="C121" s="1129"/>
      <c r="D121" s="1097"/>
      <c r="E121" s="1092"/>
      <c r="F121" s="1082"/>
      <c r="G121" s="1092"/>
      <c r="H121" s="1099">
        <f>'1.1.sz.mell. '!C124</f>
        <v>390701940</v>
      </c>
      <c r="I121" s="865">
        <f>28614577+42450993-1206500</f>
        <v>69859070</v>
      </c>
      <c r="J121" s="508"/>
      <c r="K121" s="865"/>
    </row>
    <row r="122" spans="1:11" ht="12" customHeight="1" x14ac:dyDescent="0.25">
      <c r="A122" s="12" t="s">
        <v>96</v>
      </c>
      <c r="B122" s="389" t="s">
        <v>161</v>
      </c>
      <c r="C122" s="1129">
        <f>SUM(C123:C130)</f>
        <v>7243922</v>
      </c>
      <c r="D122" s="1129">
        <f>SUM(D123:D130)</f>
        <v>4066909</v>
      </c>
      <c r="E122" s="1092"/>
      <c r="F122" s="1092"/>
      <c r="G122" s="1092"/>
      <c r="H122" s="1099">
        <f>'1.1.sz.mell. '!C125</f>
        <v>5911806</v>
      </c>
      <c r="I122" s="865">
        <f>SUM(I123:I130)</f>
        <v>26919106</v>
      </c>
      <c r="J122" s="865">
        <f>SUM(J123:J130)</f>
        <v>0</v>
      </c>
      <c r="K122" s="865"/>
    </row>
    <row r="123" spans="1:11" ht="12" customHeight="1" x14ac:dyDescent="0.25">
      <c r="A123" s="12" t="s">
        <v>105</v>
      </c>
      <c r="B123" s="388" t="s">
        <v>360</v>
      </c>
      <c r="C123" s="1129"/>
      <c r="D123" s="1097"/>
      <c r="E123" s="1078"/>
      <c r="F123" s="1078"/>
      <c r="G123" s="1092"/>
      <c r="H123" s="1099">
        <f>'1.1.sz.mell. '!C126</f>
        <v>0</v>
      </c>
      <c r="I123" s="101"/>
      <c r="J123" s="101"/>
      <c r="K123" s="865"/>
    </row>
    <row r="124" spans="1:11" ht="12" customHeight="1" x14ac:dyDescent="0.25">
      <c r="A124" s="12" t="s">
        <v>107</v>
      </c>
      <c r="B124" s="403" t="s">
        <v>305</v>
      </c>
      <c r="C124" s="1129"/>
      <c r="D124" s="1097"/>
      <c r="E124" s="1078"/>
      <c r="F124" s="1078"/>
      <c r="G124" s="1092"/>
      <c r="H124" s="1099">
        <f>'1.1.sz.mell. '!C127</f>
        <v>0</v>
      </c>
      <c r="I124" s="101"/>
      <c r="J124" s="101"/>
      <c r="K124" s="865"/>
    </row>
    <row r="125" spans="1:11" ht="12" customHeight="1" x14ac:dyDescent="0.25">
      <c r="A125" s="12" t="s">
        <v>140</v>
      </c>
      <c r="B125" s="404" t="s">
        <v>288</v>
      </c>
      <c r="C125" s="1129"/>
      <c r="D125" s="1097"/>
      <c r="E125" s="1078"/>
      <c r="F125" s="1078"/>
      <c r="G125" s="1092"/>
      <c r="H125" s="1099">
        <f>'1.1.sz.mell. '!C128</f>
        <v>0</v>
      </c>
      <c r="I125" s="101"/>
      <c r="J125" s="101"/>
      <c r="K125" s="865"/>
    </row>
    <row r="126" spans="1:11" ht="12" customHeight="1" x14ac:dyDescent="0.25">
      <c r="A126" s="12" t="s">
        <v>141</v>
      </c>
      <c r="B126" s="404" t="s">
        <v>304</v>
      </c>
      <c r="C126" s="1129">
        <v>308980</v>
      </c>
      <c r="D126" s="1097"/>
      <c r="E126" s="1078"/>
      <c r="F126" s="1078"/>
      <c r="G126" s="1092"/>
      <c r="H126" s="1099">
        <f>'1.1.sz.mell. '!C129</f>
        <v>0</v>
      </c>
      <c r="I126" s="101"/>
      <c r="J126" s="101"/>
      <c r="K126" s="865"/>
    </row>
    <row r="127" spans="1:11" ht="12" customHeight="1" x14ac:dyDescent="0.25">
      <c r="A127" s="12" t="s">
        <v>142</v>
      </c>
      <c r="B127" s="404" t="s">
        <v>303</v>
      </c>
      <c r="C127" s="1129"/>
      <c r="D127" s="1097"/>
      <c r="E127" s="1078"/>
      <c r="F127" s="1078"/>
      <c r="G127" s="1092"/>
      <c r="H127" s="1099">
        <f>'1.1.sz.mell. '!C130</f>
        <v>0</v>
      </c>
      <c r="I127" s="101"/>
      <c r="J127" s="101"/>
      <c r="K127" s="865"/>
    </row>
    <row r="128" spans="1:11" ht="12" customHeight="1" x14ac:dyDescent="0.25">
      <c r="A128" s="12" t="s">
        <v>296</v>
      </c>
      <c r="B128" s="404" t="s">
        <v>291</v>
      </c>
      <c r="C128" s="1129"/>
      <c r="D128" s="1097"/>
      <c r="E128" s="1078"/>
      <c r="F128" s="1078"/>
      <c r="G128" s="1092"/>
      <c r="H128" s="1099">
        <f>'1.1.sz.mell. '!C131</f>
        <v>0</v>
      </c>
      <c r="I128" s="101"/>
      <c r="J128" s="101"/>
      <c r="K128" s="865"/>
    </row>
    <row r="129" spans="1:11" ht="12" customHeight="1" x14ac:dyDescent="0.25">
      <c r="A129" s="12" t="s">
        <v>297</v>
      </c>
      <c r="B129" s="404" t="s">
        <v>302</v>
      </c>
      <c r="C129" s="1129"/>
      <c r="D129" s="1097"/>
      <c r="E129" s="1078"/>
      <c r="F129" s="1078"/>
      <c r="G129" s="1092"/>
      <c r="H129" s="1099">
        <f>'1.1.sz.mell. '!C132</f>
        <v>0</v>
      </c>
      <c r="I129" s="101"/>
      <c r="J129" s="101"/>
      <c r="K129" s="865"/>
    </row>
    <row r="130" spans="1:11" ht="12" customHeight="1" thickBot="1" x14ac:dyDescent="0.3">
      <c r="A130" s="10" t="s">
        <v>298</v>
      </c>
      <c r="B130" s="404" t="s">
        <v>301</v>
      </c>
      <c r="C130" s="1130">
        <v>6934942</v>
      </c>
      <c r="D130" s="1089">
        <v>4066909</v>
      </c>
      <c r="E130" s="1095"/>
      <c r="F130" s="1095"/>
      <c r="G130" s="1095"/>
      <c r="H130" s="1099">
        <f>'1.1.sz.mell. '!C133</f>
        <v>5911806</v>
      </c>
      <c r="I130" s="866">
        <f>650000+26269106</f>
        <v>26919106</v>
      </c>
      <c r="J130" s="866"/>
      <c r="K130" s="866"/>
    </row>
    <row r="131" spans="1:11" ht="12" customHeight="1" thickBot="1" x14ac:dyDescent="0.3">
      <c r="A131" s="17" t="s">
        <v>18</v>
      </c>
      <c r="B131" s="376" t="s">
        <v>415</v>
      </c>
      <c r="C131" s="1072">
        <f>C117+C96</f>
        <v>2764684048</v>
      </c>
      <c r="D131" s="1072">
        <f>D117+D96</f>
        <v>2636250942</v>
      </c>
      <c r="E131" s="1070"/>
      <c r="F131" s="1077"/>
      <c r="G131" s="1077"/>
      <c r="H131" s="1093">
        <f>'1.1.sz.mell. '!C134</f>
        <v>5214188694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72">
        <f>SUM(C133:C135)</f>
        <v>16952500</v>
      </c>
      <c r="D132" s="1072">
        <f>SUM(D133:D135)</f>
        <v>847193674</v>
      </c>
      <c r="E132" s="1070"/>
      <c r="F132" s="1077"/>
      <c r="G132" s="1077"/>
      <c r="H132" s="1093">
        <f>'1.1.sz.mell. '!C135</f>
        <v>874993747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32">
        <v>16952500</v>
      </c>
      <c r="D133" s="1079">
        <v>26038434</v>
      </c>
      <c r="E133" s="1092"/>
      <c r="F133" s="1092"/>
      <c r="G133" s="1092"/>
      <c r="H133" s="1099">
        <f>'1.1.sz.mell. '!C136</f>
        <v>24993747</v>
      </c>
      <c r="I133" s="865">
        <f>11674500+5278000</f>
        <v>16952500</v>
      </c>
      <c r="J133" s="865"/>
      <c r="K133" s="865"/>
    </row>
    <row r="134" spans="1:11" ht="12" customHeight="1" x14ac:dyDescent="0.25">
      <c r="A134" s="12" t="s">
        <v>200</v>
      </c>
      <c r="B134" s="397" t="s">
        <v>418</v>
      </c>
      <c r="C134" s="1133"/>
      <c r="D134" s="1080">
        <v>821155240</v>
      </c>
      <c r="E134" s="1078"/>
      <c r="F134" s="1078"/>
      <c r="G134" s="1078"/>
      <c r="H134" s="1099">
        <f>'1.1.sz.mell. '!C137</f>
        <v>850000000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34"/>
      <c r="D135" s="1067"/>
      <c r="E135" s="1078"/>
      <c r="F135" s="1078"/>
      <c r="G135" s="1078"/>
      <c r="H135" s="1069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85">
        <f>SUM(C137:C142)</f>
        <v>0</v>
      </c>
      <c r="D136" s="1085">
        <f>SUM(D137:D142)</f>
        <v>0</v>
      </c>
      <c r="E136" s="1085">
        <f>SUM(E137:E142)</f>
        <v>0</v>
      </c>
      <c r="F136" s="1085">
        <f>SUM(F137:F142)</f>
        <v>0</v>
      </c>
      <c r="G136" s="1085">
        <f>SUM(G137:G142)</f>
        <v>0</v>
      </c>
      <c r="H136" s="1085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32"/>
      <c r="D137" s="1079"/>
      <c r="E137" s="1078"/>
      <c r="F137" s="1078"/>
      <c r="G137" s="1078"/>
      <c r="H137" s="1099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33"/>
      <c r="D138" s="1080"/>
      <c r="E138" s="1078"/>
      <c r="F138" s="1078"/>
      <c r="G138" s="1078"/>
      <c r="H138" s="1099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33"/>
      <c r="D139" s="1080"/>
      <c r="E139" s="1078"/>
      <c r="F139" s="1078"/>
      <c r="G139" s="1078"/>
      <c r="H139" s="1099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33"/>
      <c r="D140" s="1080"/>
      <c r="E140" s="1078"/>
      <c r="F140" s="1078"/>
      <c r="G140" s="1078"/>
      <c r="H140" s="1099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33"/>
      <c r="D141" s="1080"/>
      <c r="E141" s="1078"/>
      <c r="F141" s="1078"/>
      <c r="G141" s="1078"/>
      <c r="H141" s="1099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34"/>
      <c r="D142" s="1067"/>
      <c r="E142" s="1078"/>
      <c r="F142" s="1078"/>
      <c r="G142" s="1078"/>
      <c r="H142" s="1069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72">
        <f t="shared" ref="C143" si="1">SUM(C144:C147)</f>
        <v>41904332</v>
      </c>
      <c r="D143" s="1072">
        <f t="shared" ref="D143:K143" si="2">SUM(D144:D147)</f>
        <v>45672254</v>
      </c>
      <c r="E143" s="1072">
        <f t="shared" si="2"/>
        <v>0</v>
      </c>
      <c r="F143" s="1072">
        <f t="shared" si="2"/>
        <v>0</v>
      </c>
      <c r="G143" s="1072">
        <f t="shared" si="2"/>
        <v>0</v>
      </c>
      <c r="H143" s="1072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32"/>
      <c r="D144" s="1079"/>
      <c r="E144" s="1078"/>
      <c r="F144" s="1078"/>
      <c r="G144" s="1078"/>
      <c r="H144" s="1100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33">
        <v>41904332</v>
      </c>
      <c r="D145" s="1080">
        <v>45672254</v>
      </c>
      <c r="E145" s="1078"/>
      <c r="F145" s="1078"/>
      <c r="G145" s="1078"/>
      <c r="H145" s="1099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33"/>
      <c r="D146" s="1080"/>
      <c r="E146" s="1078"/>
      <c r="F146" s="1078"/>
      <c r="G146" s="1078"/>
      <c r="H146" s="1100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34"/>
      <c r="D147" s="1067"/>
      <c r="E147" s="1078"/>
      <c r="F147" s="1078"/>
      <c r="G147" s="1078"/>
      <c r="H147" s="1101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102">
        <f>SUM(C149:C153)</f>
        <v>0</v>
      </c>
      <c r="D148" s="1102">
        <f>SUM(D149:D153)</f>
        <v>0</v>
      </c>
      <c r="E148" s="1102">
        <f>SUM(E149:E153)</f>
        <v>0</v>
      </c>
      <c r="F148" s="1102">
        <f>SUM(F149:F153)</f>
        <v>0</v>
      </c>
      <c r="G148" s="1102">
        <f>SUM(G149:G153)</f>
        <v>0</v>
      </c>
      <c r="H148" s="1102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32"/>
      <c r="D149" s="1079"/>
      <c r="E149" s="1078"/>
      <c r="F149" s="1078"/>
      <c r="G149" s="1078"/>
      <c r="H149" s="1100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33"/>
      <c r="D150" s="1080"/>
      <c r="E150" s="1078"/>
      <c r="F150" s="1078"/>
      <c r="G150" s="1078"/>
      <c r="H150" s="1100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33"/>
      <c r="D151" s="1080"/>
      <c r="E151" s="1078"/>
      <c r="F151" s="1078"/>
      <c r="G151" s="1078"/>
      <c r="H151" s="1100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33"/>
      <c r="D152" s="1080"/>
      <c r="E152" s="1078"/>
      <c r="F152" s="1078"/>
      <c r="G152" s="1078"/>
      <c r="H152" s="1100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34"/>
      <c r="D153" s="1067"/>
      <c r="E153" s="1103"/>
      <c r="F153" s="1103"/>
      <c r="G153" s="1078"/>
      <c r="H153" s="1101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85"/>
      <c r="D154" s="1104"/>
      <c r="E154" s="1105"/>
      <c r="F154" s="1106"/>
      <c r="G154" s="1107"/>
      <c r="H154" s="1093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85"/>
      <c r="D155" s="1104"/>
      <c r="E155" s="1105"/>
      <c r="F155" s="1106"/>
      <c r="G155" s="1107"/>
      <c r="H155" s="1093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72">
        <f>C132+C136+C143+C148+C154+C155</f>
        <v>58856832</v>
      </c>
      <c r="D156" s="1072">
        <f>D132+D136+D143+D148+D154+D155</f>
        <v>892865928</v>
      </c>
      <c r="E156" s="1108"/>
      <c r="F156" s="1109"/>
      <c r="G156" s="1109"/>
      <c r="H156" s="1093">
        <f>'1.1.sz.mell. '!C159</f>
        <v>923960497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72">
        <f>C156+C131</f>
        <v>2823540880</v>
      </c>
      <c r="D157" s="1072">
        <f>D156+D131</f>
        <v>3529116870</v>
      </c>
      <c r="E157" s="1108"/>
      <c r="F157" s="1109"/>
      <c r="G157" s="1109"/>
      <c r="H157" s="1093">
        <f>'1.1.sz.mell. '!C160</f>
        <v>6138149191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7" customFormat="1" ht="16.5" customHeight="1" x14ac:dyDescent="0.25">
      <c r="C161" s="792"/>
      <c r="D161" s="792"/>
      <c r="E161" s="792"/>
      <c r="F161" s="792"/>
      <c r="G161" s="792"/>
      <c r="H161" s="792"/>
      <c r="I161" s="776"/>
      <c r="J161" s="776"/>
      <c r="K161" s="776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2"/>
  <sheetViews>
    <sheetView topLeftCell="A13" workbookViewId="0">
      <selection activeCell="J12" sqref="J12"/>
    </sheetView>
  </sheetViews>
  <sheetFormatPr defaultRowHeight="12.75" x14ac:dyDescent="0.2"/>
  <cols>
    <col min="1" max="1" width="6.83203125" style="772" customWidth="1"/>
    <col min="2" max="2" width="49.6640625" style="771" customWidth="1"/>
    <col min="3" max="3" width="12.83203125" style="793" customWidth="1"/>
    <col min="4" max="8" width="12.83203125" style="771" customWidth="1"/>
    <col min="9" max="9" width="13.83203125" style="771" customWidth="1"/>
    <col min="10" max="256" width="9.33203125" style="771"/>
    <col min="257" max="257" width="6.83203125" style="771" customWidth="1"/>
    <col min="258" max="258" width="49.6640625" style="771" customWidth="1"/>
    <col min="259" max="264" width="12.83203125" style="771" customWidth="1"/>
    <col min="265" max="265" width="13.83203125" style="771" customWidth="1"/>
    <col min="266" max="512" width="9.33203125" style="771"/>
    <col min="513" max="513" width="6.83203125" style="771" customWidth="1"/>
    <col min="514" max="514" width="49.6640625" style="771" customWidth="1"/>
    <col min="515" max="520" width="12.83203125" style="771" customWidth="1"/>
    <col min="521" max="521" width="13.83203125" style="771" customWidth="1"/>
    <col min="522" max="768" width="9.33203125" style="771"/>
    <col min="769" max="769" width="6.83203125" style="771" customWidth="1"/>
    <col min="770" max="770" width="49.6640625" style="771" customWidth="1"/>
    <col min="771" max="776" width="12.83203125" style="771" customWidth="1"/>
    <col min="777" max="777" width="13.83203125" style="771" customWidth="1"/>
    <col min="778" max="1024" width="9.33203125" style="771"/>
    <col min="1025" max="1025" width="6.83203125" style="771" customWidth="1"/>
    <col min="1026" max="1026" width="49.6640625" style="771" customWidth="1"/>
    <col min="1027" max="1032" width="12.83203125" style="771" customWidth="1"/>
    <col min="1033" max="1033" width="13.83203125" style="771" customWidth="1"/>
    <col min="1034" max="1280" width="9.33203125" style="771"/>
    <col min="1281" max="1281" width="6.83203125" style="771" customWidth="1"/>
    <col min="1282" max="1282" width="49.6640625" style="771" customWidth="1"/>
    <col min="1283" max="1288" width="12.83203125" style="771" customWidth="1"/>
    <col min="1289" max="1289" width="13.83203125" style="771" customWidth="1"/>
    <col min="1290" max="1536" width="9.33203125" style="771"/>
    <col min="1537" max="1537" width="6.83203125" style="771" customWidth="1"/>
    <col min="1538" max="1538" width="49.6640625" style="771" customWidth="1"/>
    <col min="1539" max="1544" width="12.83203125" style="771" customWidth="1"/>
    <col min="1545" max="1545" width="13.83203125" style="771" customWidth="1"/>
    <col min="1546" max="1792" width="9.33203125" style="771"/>
    <col min="1793" max="1793" width="6.83203125" style="771" customWidth="1"/>
    <col min="1794" max="1794" width="49.6640625" style="771" customWidth="1"/>
    <col min="1795" max="1800" width="12.83203125" style="771" customWidth="1"/>
    <col min="1801" max="1801" width="13.83203125" style="771" customWidth="1"/>
    <col min="1802" max="2048" width="9.33203125" style="771"/>
    <col min="2049" max="2049" width="6.83203125" style="771" customWidth="1"/>
    <col min="2050" max="2050" width="49.6640625" style="771" customWidth="1"/>
    <col min="2051" max="2056" width="12.83203125" style="771" customWidth="1"/>
    <col min="2057" max="2057" width="13.83203125" style="771" customWidth="1"/>
    <col min="2058" max="2304" width="9.33203125" style="771"/>
    <col min="2305" max="2305" width="6.83203125" style="771" customWidth="1"/>
    <col min="2306" max="2306" width="49.6640625" style="771" customWidth="1"/>
    <col min="2307" max="2312" width="12.83203125" style="771" customWidth="1"/>
    <col min="2313" max="2313" width="13.83203125" style="771" customWidth="1"/>
    <col min="2314" max="2560" width="9.33203125" style="771"/>
    <col min="2561" max="2561" width="6.83203125" style="771" customWidth="1"/>
    <col min="2562" max="2562" width="49.6640625" style="771" customWidth="1"/>
    <col min="2563" max="2568" width="12.83203125" style="771" customWidth="1"/>
    <col min="2569" max="2569" width="13.83203125" style="771" customWidth="1"/>
    <col min="2570" max="2816" width="9.33203125" style="771"/>
    <col min="2817" max="2817" width="6.83203125" style="771" customWidth="1"/>
    <col min="2818" max="2818" width="49.6640625" style="771" customWidth="1"/>
    <col min="2819" max="2824" width="12.83203125" style="771" customWidth="1"/>
    <col min="2825" max="2825" width="13.83203125" style="771" customWidth="1"/>
    <col min="2826" max="3072" width="9.33203125" style="771"/>
    <col min="3073" max="3073" width="6.83203125" style="771" customWidth="1"/>
    <col min="3074" max="3074" width="49.6640625" style="771" customWidth="1"/>
    <col min="3075" max="3080" width="12.83203125" style="771" customWidth="1"/>
    <col min="3081" max="3081" width="13.83203125" style="771" customWidth="1"/>
    <col min="3082" max="3328" width="9.33203125" style="771"/>
    <col min="3329" max="3329" width="6.83203125" style="771" customWidth="1"/>
    <col min="3330" max="3330" width="49.6640625" style="771" customWidth="1"/>
    <col min="3331" max="3336" width="12.83203125" style="771" customWidth="1"/>
    <col min="3337" max="3337" width="13.83203125" style="771" customWidth="1"/>
    <col min="3338" max="3584" width="9.33203125" style="771"/>
    <col min="3585" max="3585" width="6.83203125" style="771" customWidth="1"/>
    <col min="3586" max="3586" width="49.6640625" style="771" customWidth="1"/>
    <col min="3587" max="3592" width="12.83203125" style="771" customWidth="1"/>
    <col min="3593" max="3593" width="13.83203125" style="771" customWidth="1"/>
    <col min="3594" max="3840" width="9.33203125" style="771"/>
    <col min="3841" max="3841" width="6.83203125" style="771" customWidth="1"/>
    <col min="3842" max="3842" width="49.6640625" style="771" customWidth="1"/>
    <col min="3843" max="3848" width="12.83203125" style="771" customWidth="1"/>
    <col min="3849" max="3849" width="13.83203125" style="771" customWidth="1"/>
    <col min="3850" max="4096" width="9.33203125" style="771"/>
    <col min="4097" max="4097" width="6.83203125" style="771" customWidth="1"/>
    <col min="4098" max="4098" width="49.6640625" style="771" customWidth="1"/>
    <col min="4099" max="4104" width="12.83203125" style="771" customWidth="1"/>
    <col min="4105" max="4105" width="13.83203125" style="771" customWidth="1"/>
    <col min="4106" max="4352" width="9.33203125" style="771"/>
    <col min="4353" max="4353" width="6.83203125" style="771" customWidth="1"/>
    <col min="4354" max="4354" width="49.6640625" style="771" customWidth="1"/>
    <col min="4355" max="4360" width="12.83203125" style="771" customWidth="1"/>
    <col min="4361" max="4361" width="13.83203125" style="771" customWidth="1"/>
    <col min="4362" max="4608" width="9.33203125" style="771"/>
    <col min="4609" max="4609" width="6.83203125" style="771" customWidth="1"/>
    <col min="4610" max="4610" width="49.6640625" style="771" customWidth="1"/>
    <col min="4611" max="4616" width="12.83203125" style="771" customWidth="1"/>
    <col min="4617" max="4617" width="13.83203125" style="771" customWidth="1"/>
    <col min="4618" max="4864" width="9.33203125" style="771"/>
    <col min="4865" max="4865" width="6.83203125" style="771" customWidth="1"/>
    <col min="4866" max="4866" width="49.6640625" style="771" customWidth="1"/>
    <col min="4867" max="4872" width="12.83203125" style="771" customWidth="1"/>
    <col min="4873" max="4873" width="13.83203125" style="771" customWidth="1"/>
    <col min="4874" max="5120" width="9.33203125" style="771"/>
    <col min="5121" max="5121" width="6.83203125" style="771" customWidth="1"/>
    <col min="5122" max="5122" width="49.6640625" style="771" customWidth="1"/>
    <col min="5123" max="5128" width="12.83203125" style="771" customWidth="1"/>
    <col min="5129" max="5129" width="13.83203125" style="771" customWidth="1"/>
    <col min="5130" max="5376" width="9.33203125" style="771"/>
    <col min="5377" max="5377" width="6.83203125" style="771" customWidth="1"/>
    <col min="5378" max="5378" width="49.6640625" style="771" customWidth="1"/>
    <col min="5379" max="5384" width="12.83203125" style="771" customWidth="1"/>
    <col min="5385" max="5385" width="13.83203125" style="771" customWidth="1"/>
    <col min="5386" max="5632" width="9.33203125" style="771"/>
    <col min="5633" max="5633" width="6.83203125" style="771" customWidth="1"/>
    <col min="5634" max="5634" width="49.6640625" style="771" customWidth="1"/>
    <col min="5635" max="5640" width="12.83203125" style="771" customWidth="1"/>
    <col min="5641" max="5641" width="13.83203125" style="771" customWidth="1"/>
    <col min="5642" max="5888" width="9.33203125" style="771"/>
    <col min="5889" max="5889" width="6.83203125" style="771" customWidth="1"/>
    <col min="5890" max="5890" width="49.6640625" style="771" customWidth="1"/>
    <col min="5891" max="5896" width="12.83203125" style="771" customWidth="1"/>
    <col min="5897" max="5897" width="13.83203125" style="771" customWidth="1"/>
    <col min="5898" max="6144" width="9.33203125" style="771"/>
    <col min="6145" max="6145" width="6.83203125" style="771" customWidth="1"/>
    <col min="6146" max="6146" width="49.6640625" style="771" customWidth="1"/>
    <col min="6147" max="6152" width="12.83203125" style="771" customWidth="1"/>
    <col min="6153" max="6153" width="13.83203125" style="771" customWidth="1"/>
    <col min="6154" max="6400" width="9.33203125" style="771"/>
    <col min="6401" max="6401" width="6.83203125" style="771" customWidth="1"/>
    <col min="6402" max="6402" width="49.6640625" style="771" customWidth="1"/>
    <col min="6403" max="6408" width="12.83203125" style="771" customWidth="1"/>
    <col min="6409" max="6409" width="13.83203125" style="771" customWidth="1"/>
    <col min="6410" max="6656" width="9.33203125" style="771"/>
    <col min="6657" max="6657" width="6.83203125" style="771" customWidth="1"/>
    <col min="6658" max="6658" width="49.6640625" style="771" customWidth="1"/>
    <col min="6659" max="6664" width="12.83203125" style="771" customWidth="1"/>
    <col min="6665" max="6665" width="13.83203125" style="771" customWidth="1"/>
    <col min="6666" max="6912" width="9.33203125" style="771"/>
    <col min="6913" max="6913" width="6.83203125" style="771" customWidth="1"/>
    <col min="6914" max="6914" width="49.6640625" style="771" customWidth="1"/>
    <col min="6915" max="6920" width="12.83203125" style="771" customWidth="1"/>
    <col min="6921" max="6921" width="13.83203125" style="771" customWidth="1"/>
    <col min="6922" max="7168" width="9.33203125" style="771"/>
    <col min="7169" max="7169" width="6.83203125" style="771" customWidth="1"/>
    <col min="7170" max="7170" width="49.6640625" style="771" customWidth="1"/>
    <col min="7171" max="7176" width="12.83203125" style="771" customWidth="1"/>
    <col min="7177" max="7177" width="13.83203125" style="771" customWidth="1"/>
    <col min="7178" max="7424" width="9.33203125" style="771"/>
    <col min="7425" max="7425" width="6.83203125" style="771" customWidth="1"/>
    <col min="7426" max="7426" width="49.6640625" style="771" customWidth="1"/>
    <col min="7427" max="7432" width="12.83203125" style="771" customWidth="1"/>
    <col min="7433" max="7433" width="13.83203125" style="771" customWidth="1"/>
    <col min="7434" max="7680" width="9.33203125" style="771"/>
    <col min="7681" max="7681" width="6.83203125" style="771" customWidth="1"/>
    <col min="7682" max="7682" width="49.6640625" style="771" customWidth="1"/>
    <col min="7683" max="7688" width="12.83203125" style="771" customWidth="1"/>
    <col min="7689" max="7689" width="13.83203125" style="771" customWidth="1"/>
    <col min="7690" max="7936" width="9.33203125" style="771"/>
    <col min="7937" max="7937" width="6.83203125" style="771" customWidth="1"/>
    <col min="7938" max="7938" width="49.6640625" style="771" customWidth="1"/>
    <col min="7939" max="7944" width="12.83203125" style="771" customWidth="1"/>
    <col min="7945" max="7945" width="13.83203125" style="771" customWidth="1"/>
    <col min="7946" max="8192" width="9.33203125" style="771"/>
    <col min="8193" max="8193" width="6.83203125" style="771" customWidth="1"/>
    <col min="8194" max="8194" width="49.6640625" style="771" customWidth="1"/>
    <col min="8195" max="8200" width="12.83203125" style="771" customWidth="1"/>
    <col min="8201" max="8201" width="13.83203125" style="771" customWidth="1"/>
    <col min="8202" max="8448" width="9.33203125" style="771"/>
    <col min="8449" max="8449" width="6.83203125" style="771" customWidth="1"/>
    <col min="8450" max="8450" width="49.6640625" style="771" customWidth="1"/>
    <col min="8451" max="8456" width="12.83203125" style="771" customWidth="1"/>
    <col min="8457" max="8457" width="13.83203125" style="771" customWidth="1"/>
    <col min="8458" max="8704" width="9.33203125" style="771"/>
    <col min="8705" max="8705" width="6.83203125" style="771" customWidth="1"/>
    <col min="8706" max="8706" width="49.6640625" style="771" customWidth="1"/>
    <col min="8707" max="8712" width="12.83203125" style="771" customWidth="1"/>
    <col min="8713" max="8713" width="13.83203125" style="771" customWidth="1"/>
    <col min="8714" max="8960" width="9.33203125" style="771"/>
    <col min="8961" max="8961" width="6.83203125" style="771" customWidth="1"/>
    <col min="8962" max="8962" width="49.6640625" style="771" customWidth="1"/>
    <col min="8963" max="8968" width="12.83203125" style="771" customWidth="1"/>
    <col min="8969" max="8969" width="13.83203125" style="771" customWidth="1"/>
    <col min="8970" max="9216" width="9.33203125" style="771"/>
    <col min="9217" max="9217" width="6.83203125" style="771" customWidth="1"/>
    <col min="9218" max="9218" width="49.6640625" style="771" customWidth="1"/>
    <col min="9219" max="9224" width="12.83203125" style="771" customWidth="1"/>
    <col min="9225" max="9225" width="13.83203125" style="771" customWidth="1"/>
    <col min="9226" max="9472" width="9.33203125" style="771"/>
    <col min="9473" max="9473" width="6.83203125" style="771" customWidth="1"/>
    <col min="9474" max="9474" width="49.6640625" style="771" customWidth="1"/>
    <col min="9475" max="9480" width="12.83203125" style="771" customWidth="1"/>
    <col min="9481" max="9481" width="13.83203125" style="771" customWidth="1"/>
    <col min="9482" max="9728" width="9.33203125" style="771"/>
    <col min="9729" max="9729" width="6.83203125" style="771" customWidth="1"/>
    <col min="9730" max="9730" width="49.6640625" style="771" customWidth="1"/>
    <col min="9731" max="9736" width="12.83203125" style="771" customWidth="1"/>
    <col min="9737" max="9737" width="13.83203125" style="771" customWidth="1"/>
    <col min="9738" max="9984" width="9.33203125" style="771"/>
    <col min="9985" max="9985" width="6.83203125" style="771" customWidth="1"/>
    <col min="9986" max="9986" width="49.6640625" style="771" customWidth="1"/>
    <col min="9987" max="9992" width="12.83203125" style="771" customWidth="1"/>
    <col min="9993" max="9993" width="13.83203125" style="771" customWidth="1"/>
    <col min="9994" max="10240" width="9.33203125" style="771"/>
    <col min="10241" max="10241" width="6.83203125" style="771" customWidth="1"/>
    <col min="10242" max="10242" width="49.6640625" style="771" customWidth="1"/>
    <col min="10243" max="10248" width="12.83203125" style="771" customWidth="1"/>
    <col min="10249" max="10249" width="13.83203125" style="771" customWidth="1"/>
    <col min="10250" max="10496" width="9.33203125" style="771"/>
    <col min="10497" max="10497" width="6.83203125" style="771" customWidth="1"/>
    <col min="10498" max="10498" width="49.6640625" style="771" customWidth="1"/>
    <col min="10499" max="10504" width="12.83203125" style="771" customWidth="1"/>
    <col min="10505" max="10505" width="13.83203125" style="771" customWidth="1"/>
    <col min="10506" max="10752" width="9.33203125" style="771"/>
    <col min="10753" max="10753" width="6.83203125" style="771" customWidth="1"/>
    <col min="10754" max="10754" width="49.6640625" style="771" customWidth="1"/>
    <col min="10755" max="10760" width="12.83203125" style="771" customWidth="1"/>
    <col min="10761" max="10761" width="13.83203125" style="771" customWidth="1"/>
    <col min="10762" max="11008" width="9.33203125" style="771"/>
    <col min="11009" max="11009" width="6.83203125" style="771" customWidth="1"/>
    <col min="11010" max="11010" width="49.6640625" style="771" customWidth="1"/>
    <col min="11011" max="11016" width="12.83203125" style="771" customWidth="1"/>
    <col min="11017" max="11017" width="13.83203125" style="771" customWidth="1"/>
    <col min="11018" max="11264" width="9.33203125" style="771"/>
    <col min="11265" max="11265" width="6.83203125" style="771" customWidth="1"/>
    <col min="11266" max="11266" width="49.6640625" style="771" customWidth="1"/>
    <col min="11267" max="11272" width="12.83203125" style="771" customWidth="1"/>
    <col min="11273" max="11273" width="13.83203125" style="771" customWidth="1"/>
    <col min="11274" max="11520" width="9.33203125" style="771"/>
    <col min="11521" max="11521" width="6.83203125" style="771" customWidth="1"/>
    <col min="11522" max="11522" width="49.6640625" style="771" customWidth="1"/>
    <col min="11523" max="11528" width="12.83203125" style="771" customWidth="1"/>
    <col min="11529" max="11529" width="13.83203125" style="771" customWidth="1"/>
    <col min="11530" max="11776" width="9.33203125" style="771"/>
    <col min="11777" max="11777" width="6.83203125" style="771" customWidth="1"/>
    <col min="11778" max="11778" width="49.6640625" style="771" customWidth="1"/>
    <col min="11779" max="11784" width="12.83203125" style="771" customWidth="1"/>
    <col min="11785" max="11785" width="13.83203125" style="771" customWidth="1"/>
    <col min="11786" max="12032" width="9.33203125" style="771"/>
    <col min="12033" max="12033" width="6.83203125" style="771" customWidth="1"/>
    <col min="12034" max="12034" width="49.6640625" style="771" customWidth="1"/>
    <col min="12035" max="12040" width="12.83203125" style="771" customWidth="1"/>
    <col min="12041" max="12041" width="13.83203125" style="771" customWidth="1"/>
    <col min="12042" max="12288" width="9.33203125" style="771"/>
    <col min="12289" max="12289" width="6.83203125" style="771" customWidth="1"/>
    <col min="12290" max="12290" width="49.6640625" style="771" customWidth="1"/>
    <col min="12291" max="12296" width="12.83203125" style="771" customWidth="1"/>
    <col min="12297" max="12297" width="13.83203125" style="771" customWidth="1"/>
    <col min="12298" max="12544" width="9.33203125" style="771"/>
    <col min="12545" max="12545" width="6.83203125" style="771" customWidth="1"/>
    <col min="12546" max="12546" width="49.6640625" style="771" customWidth="1"/>
    <col min="12547" max="12552" width="12.83203125" style="771" customWidth="1"/>
    <col min="12553" max="12553" width="13.83203125" style="771" customWidth="1"/>
    <col min="12554" max="12800" width="9.33203125" style="771"/>
    <col min="12801" max="12801" width="6.83203125" style="771" customWidth="1"/>
    <col min="12802" max="12802" width="49.6640625" style="771" customWidth="1"/>
    <col min="12803" max="12808" width="12.83203125" style="771" customWidth="1"/>
    <col min="12809" max="12809" width="13.83203125" style="771" customWidth="1"/>
    <col min="12810" max="13056" width="9.33203125" style="771"/>
    <col min="13057" max="13057" width="6.83203125" style="771" customWidth="1"/>
    <col min="13058" max="13058" width="49.6640625" style="771" customWidth="1"/>
    <col min="13059" max="13064" width="12.83203125" style="771" customWidth="1"/>
    <col min="13065" max="13065" width="13.83203125" style="771" customWidth="1"/>
    <col min="13066" max="13312" width="9.33203125" style="771"/>
    <col min="13313" max="13313" width="6.83203125" style="771" customWidth="1"/>
    <col min="13314" max="13314" width="49.6640625" style="771" customWidth="1"/>
    <col min="13315" max="13320" width="12.83203125" style="771" customWidth="1"/>
    <col min="13321" max="13321" width="13.83203125" style="771" customWidth="1"/>
    <col min="13322" max="13568" width="9.33203125" style="771"/>
    <col min="13569" max="13569" width="6.83203125" style="771" customWidth="1"/>
    <col min="13570" max="13570" width="49.6640625" style="771" customWidth="1"/>
    <col min="13571" max="13576" width="12.83203125" style="771" customWidth="1"/>
    <col min="13577" max="13577" width="13.83203125" style="771" customWidth="1"/>
    <col min="13578" max="13824" width="9.33203125" style="771"/>
    <col min="13825" max="13825" width="6.83203125" style="771" customWidth="1"/>
    <col min="13826" max="13826" width="49.6640625" style="771" customWidth="1"/>
    <col min="13827" max="13832" width="12.83203125" style="771" customWidth="1"/>
    <col min="13833" max="13833" width="13.83203125" style="771" customWidth="1"/>
    <col min="13834" max="14080" width="9.33203125" style="771"/>
    <col min="14081" max="14081" width="6.83203125" style="771" customWidth="1"/>
    <col min="14082" max="14082" width="49.6640625" style="771" customWidth="1"/>
    <col min="14083" max="14088" width="12.83203125" style="771" customWidth="1"/>
    <col min="14089" max="14089" width="13.83203125" style="771" customWidth="1"/>
    <col min="14090" max="14336" width="9.33203125" style="771"/>
    <col min="14337" max="14337" width="6.83203125" style="771" customWidth="1"/>
    <col min="14338" max="14338" width="49.6640625" style="771" customWidth="1"/>
    <col min="14339" max="14344" width="12.83203125" style="771" customWidth="1"/>
    <col min="14345" max="14345" width="13.83203125" style="771" customWidth="1"/>
    <col min="14346" max="14592" width="9.33203125" style="771"/>
    <col min="14593" max="14593" width="6.83203125" style="771" customWidth="1"/>
    <col min="14594" max="14594" width="49.6640625" style="771" customWidth="1"/>
    <col min="14595" max="14600" width="12.83203125" style="771" customWidth="1"/>
    <col min="14601" max="14601" width="13.83203125" style="771" customWidth="1"/>
    <col min="14602" max="14848" width="9.33203125" style="771"/>
    <col min="14849" max="14849" width="6.83203125" style="771" customWidth="1"/>
    <col min="14850" max="14850" width="49.6640625" style="771" customWidth="1"/>
    <col min="14851" max="14856" width="12.83203125" style="771" customWidth="1"/>
    <col min="14857" max="14857" width="13.83203125" style="771" customWidth="1"/>
    <col min="14858" max="15104" width="9.33203125" style="771"/>
    <col min="15105" max="15105" width="6.83203125" style="771" customWidth="1"/>
    <col min="15106" max="15106" width="49.6640625" style="771" customWidth="1"/>
    <col min="15107" max="15112" width="12.83203125" style="771" customWidth="1"/>
    <col min="15113" max="15113" width="13.83203125" style="771" customWidth="1"/>
    <col min="15114" max="15360" width="9.33203125" style="771"/>
    <col min="15361" max="15361" width="6.83203125" style="771" customWidth="1"/>
    <col min="15362" max="15362" width="49.6640625" style="771" customWidth="1"/>
    <col min="15363" max="15368" width="12.83203125" style="771" customWidth="1"/>
    <col min="15369" max="15369" width="13.83203125" style="771" customWidth="1"/>
    <col min="15370" max="15616" width="9.33203125" style="771"/>
    <col min="15617" max="15617" width="6.83203125" style="771" customWidth="1"/>
    <col min="15618" max="15618" width="49.6640625" style="771" customWidth="1"/>
    <col min="15619" max="15624" width="12.83203125" style="771" customWidth="1"/>
    <col min="15625" max="15625" width="13.83203125" style="771" customWidth="1"/>
    <col min="15626" max="15872" width="9.33203125" style="771"/>
    <col min="15873" max="15873" width="6.83203125" style="771" customWidth="1"/>
    <col min="15874" max="15874" width="49.6640625" style="771" customWidth="1"/>
    <col min="15875" max="15880" width="12.83203125" style="771" customWidth="1"/>
    <col min="15881" max="15881" width="13.83203125" style="771" customWidth="1"/>
    <col min="15882" max="16128" width="9.33203125" style="771"/>
    <col min="16129" max="16129" width="6.83203125" style="771" customWidth="1"/>
    <col min="16130" max="16130" width="49.6640625" style="771" customWidth="1"/>
    <col min="16131" max="16136" width="12.83203125" style="771" customWidth="1"/>
    <col min="16137" max="16137" width="13.83203125" style="771" customWidth="1"/>
    <col min="16138" max="16384" width="9.33203125" style="771"/>
  </cols>
  <sheetData>
    <row r="1" spans="1:9" x14ac:dyDescent="0.2">
      <c r="A1" s="1523" t="str">
        <f>CONCATENATE("2. tájékoztató tábla ",ALAPADATOK!A7," ",ALAPADATOK!B7," ",ALAPADATOK!C7," ",ALAPADATOK!D7," ",ALAPADATOK!E7," ",ALAPADATOK!F7," ",ALAPADATOK!G7," ",ALAPADATOK!H7)</f>
        <v>2. tájékoztató tábla a 15 / 2021. ( IX.30. ) önkormányzati rendelethez</v>
      </c>
      <c r="B1" s="1523"/>
      <c r="C1" s="1523"/>
      <c r="D1" s="1523"/>
      <c r="E1" s="1523"/>
      <c r="F1" s="1523"/>
      <c r="G1" s="1523"/>
      <c r="H1" s="1523"/>
      <c r="I1" s="1523"/>
    </row>
    <row r="2" spans="1:9" x14ac:dyDescent="0.2">
      <c r="G2" s="1532" t="s">
        <v>782</v>
      </c>
      <c r="H2" s="1532"/>
      <c r="I2" s="1532"/>
    </row>
    <row r="3" spans="1:9" ht="27.75" customHeight="1" x14ac:dyDescent="0.2">
      <c r="A3" s="1524" t="s">
        <v>7</v>
      </c>
      <c r="B3" s="1524"/>
      <c r="C3" s="1524"/>
      <c r="D3" s="1524"/>
      <c r="E3" s="1524"/>
      <c r="F3" s="1524"/>
      <c r="G3" s="1524"/>
      <c r="H3" s="1524"/>
      <c r="I3" s="1524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25" t="s">
        <v>64</v>
      </c>
      <c r="B5" s="1527" t="s">
        <v>72</v>
      </c>
      <c r="C5" s="1525" t="s">
        <v>73</v>
      </c>
      <c r="D5" s="1525" t="s">
        <v>924</v>
      </c>
      <c r="E5" s="1529" t="s">
        <v>63</v>
      </c>
      <c r="F5" s="1530"/>
      <c r="G5" s="1530"/>
      <c r="H5" s="1531"/>
      <c r="I5" s="1527" t="s">
        <v>48</v>
      </c>
    </row>
    <row r="6" spans="1:9" s="229" customFormat="1" ht="17.25" customHeight="1" thickBot="1" x14ac:dyDescent="0.25">
      <c r="A6" s="1526"/>
      <c r="B6" s="1528"/>
      <c r="C6" s="1528"/>
      <c r="D6" s="1526"/>
      <c r="E6" s="887">
        <v>2021</v>
      </c>
      <c r="F6" s="887">
        <v>2022</v>
      </c>
      <c r="G6" s="887">
        <v>2023</v>
      </c>
      <c r="H6" s="888" t="s">
        <v>925</v>
      </c>
      <c r="I6" s="1528"/>
    </row>
    <row r="7" spans="1:9" s="230" customFormat="1" ht="18" customHeight="1" thickBot="1" x14ac:dyDescent="0.25">
      <c r="A7" s="889">
        <v>1</v>
      </c>
      <c r="B7" s="890">
        <v>2</v>
      </c>
      <c r="C7" s="891">
        <v>3</v>
      </c>
      <c r="D7" s="892">
        <v>4</v>
      </c>
      <c r="E7" s="889">
        <v>5</v>
      </c>
      <c r="F7" s="893">
        <v>6</v>
      </c>
      <c r="G7" s="893">
        <v>7</v>
      </c>
      <c r="H7" s="894">
        <v>8</v>
      </c>
      <c r="I7" s="895" t="s">
        <v>74</v>
      </c>
    </row>
    <row r="8" spans="1:9" ht="24.75" customHeight="1" thickBot="1" x14ac:dyDescent="0.25">
      <c r="A8" s="896" t="s">
        <v>16</v>
      </c>
      <c r="B8" s="897" t="s">
        <v>752</v>
      </c>
      <c r="C8" s="898">
        <v>2021</v>
      </c>
      <c r="D8" s="899">
        <v>0</v>
      </c>
      <c r="E8" s="899">
        <v>0</v>
      </c>
      <c r="F8" s="899">
        <v>0</v>
      </c>
      <c r="G8" s="899">
        <v>0</v>
      </c>
      <c r="H8" s="899">
        <v>0</v>
      </c>
      <c r="I8" s="900">
        <v>0</v>
      </c>
    </row>
    <row r="9" spans="1:9" ht="24.75" customHeight="1" thickBot="1" x14ac:dyDescent="0.25">
      <c r="A9" s="901" t="s">
        <v>17</v>
      </c>
      <c r="B9" s="902" t="s">
        <v>926</v>
      </c>
      <c r="C9" s="903">
        <v>2021</v>
      </c>
      <c r="D9" s="904">
        <v>0</v>
      </c>
      <c r="E9" s="904">
        <v>0</v>
      </c>
      <c r="F9" s="904">
        <v>0</v>
      </c>
      <c r="G9" s="904">
        <v>0</v>
      </c>
      <c r="H9" s="904">
        <v>0</v>
      </c>
      <c r="I9" s="900">
        <v>0</v>
      </c>
    </row>
    <row r="10" spans="1:9" ht="24" customHeight="1" thickBot="1" x14ac:dyDescent="0.25">
      <c r="A10" s="906" t="s">
        <v>18</v>
      </c>
      <c r="B10" s="907" t="s">
        <v>8</v>
      </c>
      <c r="C10" s="908"/>
      <c r="D10" s="909"/>
      <c r="E10" s="909"/>
      <c r="F10" s="909"/>
      <c r="G10" s="909"/>
      <c r="H10" s="910"/>
      <c r="I10" s="911"/>
    </row>
    <row r="11" spans="1:9" ht="32.25" customHeight="1" x14ac:dyDescent="0.2">
      <c r="A11" s="896" t="s">
        <v>19</v>
      </c>
      <c r="B11" s="800" t="s">
        <v>505</v>
      </c>
      <c r="C11" s="913">
        <v>2016</v>
      </c>
      <c r="D11" s="914">
        <v>10694590</v>
      </c>
      <c r="E11" s="915">
        <v>0</v>
      </c>
      <c r="F11" s="915">
        <v>0</v>
      </c>
      <c r="G11" s="916">
        <v>0</v>
      </c>
      <c r="H11" s="916">
        <v>0</v>
      </c>
      <c r="I11" s="917">
        <f t="shared" ref="I11:I25" si="0">SUM(D11:H11)</f>
        <v>10694590</v>
      </c>
    </row>
    <row r="12" spans="1:9" ht="33" customHeight="1" x14ac:dyDescent="0.2">
      <c r="A12" s="912" t="s">
        <v>20</v>
      </c>
      <c r="B12" s="800" t="s">
        <v>506</v>
      </c>
      <c r="C12" s="913">
        <v>2016</v>
      </c>
      <c r="D12" s="914">
        <v>4416000</v>
      </c>
      <c r="E12" s="915">
        <v>1472000</v>
      </c>
      <c r="F12" s="915">
        <v>1472000</v>
      </c>
      <c r="G12" s="915">
        <v>1472000</v>
      </c>
      <c r="H12" s="916">
        <v>1471000</v>
      </c>
      <c r="I12" s="917">
        <f t="shared" si="0"/>
        <v>10303000</v>
      </c>
    </row>
    <row r="13" spans="1:9" ht="35.25" customHeight="1" x14ac:dyDescent="0.2">
      <c r="A13" s="912" t="s">
        <v>21</v>
      </c>
      <c r="B13" s="800" t="s">
        <v>507</v>
      </c>
      <c r="C13" s="913">
        <v>2016</v>
      </c>
      <c r="D13" s="914">
        <v>3991500</v>
      </c>
      <c r="E13" s="914">
        <v>443461</v>
      </c>
      <c r="F13" s="914">
        <v>0</v>
      </c>
      <c r="G13" s="914">
        <v>0</v>
      </c>
      <c r="H13" s="914">
        <v>0</v>
      </c>
      <c r="I13" s="917">
        <f t="shared" si="0"/>
        <v>4434961</v>
      </c>
    </row>
    <row r="14" spans="1:9" ht="30" customHeight="1" x14ac:dyDescent="0.2">
      <c r="A14" s="912" t="s">
        <v>22</v>
      </c>
      <c r="B14" s="800" t="s">
        <v>508</v>
      </c>
      <c r="C14" s="913">
        <v>2016</v>
      </c>
      <c r="D14" s="914">
        <v>5008500</v>
      </c>
      <c r="E14" s="914">
        <v>556539</v>
      </c>
      <c r="F14" s="914">
        <v>0</v>
      </c>
      <c r="G14" s="914">
        <v>0</v>
      </c>
      <c r="H14" s="914">
        <v>0</v>
      </c>
      <c r="I14" s="917">
        <f t="shared" si="0"/>
        <v>5565039</v>
      </c>
    </row>
    <row r="15" spans="1:9" ht="30" customHeight="1" x14ac:dyDescent="0.2">
      <c r="A15" s="912" t="s">
        <v>23</v>
      </c>
      <c r="B15" s="800" t="s">
        <v>753</v>
      </c>
      <c r="C15" s="913">
        <v>2017</v>
      </c>
      <c r="D15" s="914">
        <v>9880000</v>
      </c>
      <c r="E15" s="914">
        <v>4940000</v>
      </c>
      <c r="F15" s="914">
        <v>4940000</v>
      </c>
      <c r="G15" s="914">
        <v>4940000</v>
      </c>
      <c r="H15" s="914">
        <v>16401155</v>
      </c>
      <c r="I15" s="917">
        <f t="shared" si="0"/>
        <v>41101155</v>
      </c>
    </row>
    <row r="16" spans="1:9" ht="30" customHeight="1" x14ac:dyDescent="0.2">
      <c r="A16" s="912" t="s">
        <v>24</v>
      </c>
      <c r="B16" s="800" t="s">
        <v>512</v>
      </c>
      <c r="C16" s="913">
        <v>2017</v>
      </c>
      <c r="D16" s="914">
        <v>2928000</v>
      </c>
      <c r="E16" s="914">
        <v>1464000</v>
      </c>
      <c r="F16" s="914">
        <v>1108000</v>
      </c>
      <c r="G16" s="914">
        <v>0</v>
      </c>
      <c r="H16" s="914">
        <v>0</v>
      </c>
      <c r="I16" s="917">
        <f t="shared" si="0"/>
        <v>5500000</v>
      </c>
    </row>
    <row r="17" spans="1:10" ht="30" customHeight="1" x14ac:dyDescent="0.2">
      <c r="A17" s="912" t="s">
        <v>25</v>
      </c>
      <c r="B17" s="800" t="s">
        <v>518</v>
      </c>
      <c r="C17" s="913">
        <v>2018</v>
      </c>
      <c r="D17" s="801">
        <v>1476000</v>
      </c>
      <c r="E17" s="915">
        <v>984000</v>
      </c>
      <c r="F17" s="915">
        <v>741452</v>
      </c>
      <c r="G17" s="915">
        <v>0</v>
      </c>
      <c r="H17" s="914">
        <v>0</v>
      </c>
      <c r="I17" s="917">
        <f t="shared" si="0"/>
        <v>3201452</v>
      </c>
    </row>
    <row r="18" spans="1:10" ht="30" customHeight="1" x14ac:dyDescent="0.2">
      <c r="A18" s="912" t="s">
        <v>26</v>
      </c>
      <c r="B18" s="800" t="s">
        <v>611</v>
      </c>
      <c r="C18" s="913">
        <v>2018</v>
      </c>
      <c r="D18" s="801">
        <v>1863000</v>
      </c>
      <c r="E18" s="915">
        <v>1118946</v>
      </c>
      <c r="F18" s="915">
        <v>0</v>
      </c>
      <c r="G18" s="915">
        <v>0</v>
      </c>
      <c r="H18" s="914">
        <v>0</v>
      </c>
      <c r="I18" s="917">
        <f t="shared" si="0"/>
        <v>2981946</v>
      </c>
    </row>
    <row r="19" spans="1:10" ht="26.25" customHeight="1" x14ac:dyDescent="0.2">
      <c r="A19" s="912" t="s">
        <v>27</v>
      </c>
      <c r="B19" s="800" t="s">
        <v>517</v>
      </c>
      <c r="C19" s="913">
        <v>2018</v>
      </c>
      <c r="D19" s="801">
        <v>1587500</v>
      </c>
      <c r="E19" s="915">
        <v>1270000</v>
      </c>
      <c r="F19" s="915">
        <v>1270000</v>
      </c>
      <c r="G19" s="915">
        <v>741242</v>
      </c>
      <c r="H19" s="914"/>
      <c r="I19" s="917">
        <f t="shared" si="0"/>
        <v>4868742</v>
      </c>
    </row>
    <row r="20" spans="1:10" ht="30" customHeight="1" x14ac:dyDescent="0.2">
      <c r="A20" s="912" t="s">
        <v>28</v>
      </c>
      <c r="B20" s="800" t="s">
        <v>519</v>
      </c>
      <c r="C20" s="913">
        <v>2018</v>
      </c>
      <c r="D20" s="801">
        <v>2502000</v>
      </c>
      <c r="E20" s="915">
        <v>1668000</v>
      </c>
      <c r="F20" s="915">
        <v>1668000</v>
      </c>
      <c r="G20" s="915">
        <v>1668000</v>
      </c>
      <c r="H20" s="914">
        <v>2389526</v>
      </c>
      <c r="I20" s="917">
        <f t="shared" si="0"/>
        <v>9895526</v>
      </c>
    </row>
    <row r="21" spans="1:10" ht="30" customHeight="1" x14ac:dyDescent="0.2">
      <c r="A21" s="912" t="s">
        <v>29</v>
      </c>
      <c r="B21" s="800" t="s">
        <v>520</v>
      </c>
      <c r="C21" s="913">
        <v>2018</v>
      </c>
      <c r="D21" s="914">
        <v>1834504</v>
      </c>
      <c r="E21" s="914">
        <v>1834504</v>
      </c>
      <c r="F21" s="914">
        <v>1834504</v>
      </c>
      <c r="G21" s="915">
        <v>1834504</v>
      </c>
      <c r="H21" s="914">
        <v>1704746</v>
      </c>
      <c r="I21" s="917">
        <f t="shared" si="0"/>
        <v>9042762</v>
      </c>
    </row>
    <row r="22" spans="1:10" ht="30" customHeight="1" x14ac:dyDescent="0.2">
      <c r="A22" s="912" t="s">
        <v>30</v>
      </c>
      <c r="B22" s="800" t="s">
        <v>612</v>
      </c>
      <c r="C22" s="913">
        <v>2018</v>
      </c>
      <c r="D22" s="914">
        <v>3171740</v>
      </c>
      <c r="E22" s="914">
        <v>1848697</v>
      </c>
      <c r="F22" s="914">
        <v>0</v>
      </c>
      <c r="G22" s="915">
        <v>0</v>
      </c>
      <c r="H22" s="914">
        <v>0</v>
      </c>
      <c r="I22" s="917">
        <f t="shared" si="0"/>
        <v>5020437</v>
      </c>
    </row>
    <row r="23" spans="1:10" ht="20.100000000000001" customHeight="1" x14ac:dyDescent="0.2">
      <c r="A23" s="912" t="s">
        <v>31</v>
      </c>
      <c r="B23" s="918" t="s">
        <v>613</v>
      </c>
      <c r="C23" s="919">
        <v>2018</v>
      </c>
      <c r="D23" s="920">
        <v>2777600</v>
      </c>
      <c r="E23" s="920">
        <v>2777600</v>
      </c>
      <c r="F23" s="920">
        <v>2777600</v>
      </c>
      <c r="G23" s="920">
        <v>2777600</v>
      </c>
      <c r="H23" s="920">
        <v>13889600</v>
      </c>
      <c r="I23" s="917">
        <f t="shared" si="0"/>
        <v>25000000</v>
      </c>
    </row>
    <row r="24" spans="1:10" ht="20.100000000000001" customHeight="1" x14ac:dyDescent="0.2">
      <c r="A24" s="912" t="s">
        <v>32</v>
      </c>
      <c r="B24" s="921" t="s">
        <v>614</v>
      </c>
      <c r="C24" s="922">
        <v>2019</v>
      </c>
      <c r="D24" s="923">
        <v>508000</v>
      </c>
      <c r="E24" s="923">
        <v>1016000</v>
      </c>
      <c r="F24" s="923">
        <v>1016000</v>
      </c>
      <c r="G24" s="923">
        <v>1016000</v>
      </c>
      <c r="H24" s="923">
        <v>453644</v>
      </c>
      <c r="I24" s="917">
        <f t="shared" si="0"/>
        <v>4009644</v>
      </c>
    </row>
    <row r="25" spans="1:10" ht="24" customHeight="1" x14ac:dyDescent="0.2">
      <c r="A25" s="912" t="s">
        <v>33</v>
      </c>
      <c r="B25" s="924" t="s">
        <v>615</v>
      </c>
      <c r="C25" s="913">
        <v>2019</v>
      </c>
      <c r="D25" s="914">
        <v>900000</v>
      </c>
      <c r="E25" s="914">
        <v>3600000</v>
      </c>
      <c r="F25" s="914">
        <v>3600000</v>
      </c>
      <c r="G25" s="914">
        <v>3600000</v>
      </c>
      <c r="H25" s="914">
        <v>5609597</v>
      </c>
      <c r="I25" s="925">
        <f t="shared" si="0"/>
        <v>17309597</v>
      </c>
    </row>
    <row r="26" spans="1:10" ht="20.100000000000001" customHeight="1" x14ac:dyDescent="0.2">
      <c r="A26" s="912" t="s">
        <v>34</v>
      </c>
      <c r="B26" s="1135" t="s">
        <v>927</v>
      </c>
      <c r="C26" s="913">
        <v>2020</v>
      </c>
      <c r="D26" s="914">
        <v>0</v>
      </c>
      <c r="E26" s="914">
        <v>0</v>
      </c>
      <c r="F26" s="914">
        <v>2300740</v>
      </c>
      <c r="G26" s="914">
        <v>2300740</v>
      </c>
      <c r="H26" s="914">
        <v>6902225</v>
      </c>
      <c r="I26" s="925">
        <f>SUM(D26:H26)</f>
        <v>11503705</v>
      </c>
      <c r="J26" s="231"/>
    </row>
    <row r="27" spans="1:10" ht="20.100000000000001" customHeight="1" thickBot="1" x14ac:dyDescent="0.25">
      <c r="A27" s="950" t="s">
        <v>35</v>
      </c>
      <c r="B27" s="1135" t="s">
        <v>965</v>
      </c>
      <c r="C27" s="922">
        <v>2021</v>
      </c>
      <c r="D27" s="923">
        <v>0</v>
      </c>
      <c r="E27" s="923">
        <v>0</v>
      </c>
      <c r="F27" s="923">
        <v>0</v>
      </c>
      <c r="G27" s="923">
        <v>1568620</v>
      </c>
      <c r="H27" s="923">
        <v>5490204</v>
      </c>
      <c r="I27" s="905">
        <f>SUM(D27:H27)</f>
        <v>7058824</v>
      </c>
    </row>
    <row r="28" spans="1:10" ht="13.5" thickBot="1" x14ac:dyDescent="0.25">
      <c r="A28" s="1521" t="s">
        <v>49</v>
      </c>
      <c r="B28" s="1522"/>
      <c r="C28" s="926"/>
      <c r="D28" s="911">
        <f>SUM(D11:D27)</f>
        <v>53538934</v>
      </c>
      <c r="E28" s="911">
        <f t="shared" ref="E28:I28" si="1">SUM(E11:E27)</f>
        <v>24993747</v>
      </c>
      <c r="F28" s="911">
        <f t="shared" si="1"/>
        <v>22728296</v>
      </c>
      <c r="G28" s="911">
        <f t="shared" si="1"/>
        <v>21918706</v>
      </c>
      <c r="H28" s="911">
        <f t="shared" si="1"/>
        <v>54311697</v>
      </c>
      <c r="I28" s="911">
        <f t="shared" si="1"/>
        <v>177491380</v>
      </c>
    </row>
    <row r="29" spans="1:10" ht="15" x14ac:dyDescent="0.25">
      <c r="B29" s="693" t="s">
        <v>928</v>
      </c>
      <c r="C29" s="596"/>
      <c r="D29" s="693"/>
      <c r="E29" s="693"/>
      <c r="F29" s="693"/>
      <c r="G29" s="693"/>
      <c r="H29" s="693"/>
    </row>
    <row r="31" spans="1:10" ht="15.75" x14ac:dyDescent="0.2">
      <c r="B31" s="406"/>
    </row>
    <row r="32" spans="1:10" ht="15.75" x14ac:dyDescent="0.2">
      <c r="B32" s="595"/>
      <c r="C32" s="597"/>
      <c r="D32" s="232"/>
      <c r="E32" s="232"/>
      <c r="F32" s="232"/>
      <c r="G32" s="232"/>
      <c r="H32" s="232"/>
    </row>
    <row r="33" spans="2:4" x14ac:dyDescent="0.2">
      <c r="B33" s="232"/>
      <c r="C33" s="598"/>
    </row>
    <row r="34" spans="2:4" x14ac:dyDescent="0.2">
      <c r="B34" s="232"/>
      <c r="C34" s="598"/>
    </row>
    <row r="35" spans="2:4" x14ac:dyDescent="0.2">
      <c r="B35" s="232"/>
      <c r="C35" s="599"/>
    </row>
    <row r="36" spans="2:4" x14ac:dyDescent="0.2">
      <c r="B36" s="949"/>
      <c r="C36" s="598"/>
    </row>
    <row r="37" spans="2:4" x14ac:dyDescent="0.2">
      <c r="B37" s="232"/>
      <c r="C37" s="598"/>
    </row>
    <row r="38" spans="2:4" x14ac:dyDescent="0.2">
      <c r="B38" s="232"/>
      <c r="C38" s="598"/>
    </row>
    <row r="39" spans="2:4" x14ac:dyDescent="0.2">
      <c r="B39" s="232"/>
      <c r="C39" s="598"/>
    </row>
    <row r="40" spans="2:4" x14ac:dyDescent="0.2">
      <c r="B40" s="232"/>
      <c r="C40" s="598"/>
    </row>
    <row r="41" spans="2:4" x14ac:dyDescent="0.2">
      <c r="B41" s="232"/>
      <c r="C41" s="598"/>
    </row>
    <row r="42" spans="2:4" ht="17.25" customHeight="1" x14ac:dyDescent="0.2">
      <c r="B42" s="233"/>
      <c r="C42" s="599"/>
    </row>
    <row r="43" spans="2:4" x14ac:dyDescent="0.2">
      <c r="B43" s="232"/>
    </row>
    <row r="44" spans="2:4" x14ac:dyDescent="0.2">
      <c r="B44" s="234"/>
      <c r="C44" s="599"/>
    </row>
    <row r="45" spans="2:4" x14ac:dyDescent="0.2">
      <c r="C45" s="598"/>
      <c r="D45" s="772"/>
    </row>
    <row r="46" spans="2:4" x14ac:dyDescent="0.2">
      <c r="C46" s="598"/>
      <c r="D46" s="772"/>
    </row>
    <row r="47" spans="2:4" x14ac:dyDescent="0.2">
      <c r="C47" s="598"/>
      <c r="D47" s="772"/>
    </row>
    <row r="49" spans="2:4" x14ac:dyDescent="0.2">
      <c r="B49" s="234"/>
      <c r="C49" s="599"/>
    </row>
    <row r="50" spans="2:4" x14ac:dyDescent="0.2">
      <c r="D50" s="772"/>
    </row>
    <row r="51" spans="2:4" x14ac:dyDescent="0.2">
      <c r="D51" s="772"/>
    </row>
    <row r="52" spans="2:4" x14ac:dyDescent="0.2">
      <c r="D52" s="772"/>
    </row>
  </sheetData>
  <mergeCells count="10">
    <mergeCell ref="A28:B28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D12" sqref="D12"/>
    </sheetView>
  </sheetViews>
  <sheetFormatPr defaultRowHeight="12.75" x14ac:dyDescent="0.2"/>
  <cols>
    <col min="1" max="1" width="5.83203125" style="790" customWidth="1"/>
    <col min="2" max="2" width="54.83203125" style="769" customWidth="1"/>
    <col min="3" max="4" width="17.6640625" style="769" customWidth="1"/>
    <col min="5" max="16384" width="9.33203125" style="769"/>
  </cols>
  <sheetData>
    <row r="1" spans="1:9" ht="12.75" customHeight="1" x14ac:dyDescent="0.2">
      <c r="A1" s="1523" t="str">
        <f>CONCATENATE("3. tájékoztató tábla ",ALAPADATOK!A7," ",ALAPADATOK!B7," ",ALAPADATOK!C7," ",ALAPADATOK!D7," ",ALAPADATOK!E7," ",ALAPADATOK!F7," ",ALAPADATOK!G7," ",ALAPADATOK!H7)</f>
        <v>3. tájékoztató tábla a 15 / 2021. ( IX.30. ) önkormányzati rendelethez</v>
      </c>
      <c r="B1" s="1523"/>
      <c r="C1" s="1523"/>
      <c r="D1" s="1523"/>
      <c r="E1" s="630"/>
      <c r="F1" s="630"/>
      <c r="G1" s="630"/>
      <c r="H1" s="630"/>
      <c r="I1" s="630"/>
    </row>
    <row r="3" spans="1:9" ht="31.5" customHeight="1" x14ac:dyDescent="0.25">
      <c r="B3" s="1533" t="s">
        <v>547</v>
      </c>
      <c r="C3" s="1533"/>
      <c r="D3" s="1533"/>
    </row>
    <row r="4" spans="1:9" s="33" customFormat="1" ht="16.5" thickBot="1" x14ac:dyDescent="0.3">
      <c r="A4" s="453"/>
      <c r="B4" s="875" t="s">
        <v>620</v>
      </c>
      <c r="D4" s="454" t="s">
        <v>496</v>
      </c>
    </row>
    <row r="5" spans="1:9" s="789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9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5"/>
    </row>
    <row r="9" spans="1:9" ht="18" customHeight="1" x14ac:dyDescent="0.2">
      <c r="A9" s="461" t="s">
        <v>18</v>
      </c>
      <c r="B9" s="462" t="s">
        <v>552</v>
      </c>
      <c r="C9" s="463"/>
      <c r="D9" s="855"/>
    </row>
    <row r="10" spans="1:9" ht="18" customHeight="1" x14ac:dyDescent="0.2">
      <c r="A10" s="461" t="s">
        <v>19</v>
      </c>
      <c r="B10" s="462" t="s">
        <v>553</v>
      </c>
      <c r="C10" s="463"/>
      <c r="D10" s="855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5"/>
    </row>
    <row r="13" spans="1:9" ht="18" customHeight="1" x14ac:dyDescent="0.2">
      <c r="A13" s="461" t="s">
        <v>22</v>
      </c>
      <c r="B13" s="466" t="s">
        <v>556</v>
      </c>
      <c r="C13" s="463"/>
      <c r="D13" s="855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5"/>
    </row>
    <row r="16" spans="1:9" ht="18" customHeight="1" x14ac:dyDescent="0.2">
      <c r="A16" s="461" t="s">
        <v>26</v>
      </c>
      <c r="B16" s="466" t="s">
        <v>559</v>
      </c>
      <c r="C16" s="463"/>
      <c r="D16" s="855"/>
    </row>
    <row r="17" spans="1:4" ht="22.5" customHeight="1" x14ac:dyDescent="0.2">
      <c r="A17" s="461" t="s">
        <v>27</v>
      </c>
      <c r="B17" s="466" t="s">
        <v>560</v>
      </c>
      <c r="C17" s="463"/>
      <c r="D17" s="855"/>
    </row>
    <row r="18" spans="1:4" ht="18" customHeight="1" x14ac:dyDescent="0.2">
      <c r="A18" s="461" t="s">
        <v>28</v>
      </c>
      <c r="B18" s="462" t="s">
        <v>561</v>
      </c>
      <c r="C18" s="463"/>
      <c r="D18" s="855"/>
    </row>
    <row r="19" spans="1:4" ht="18" customHeight="1" x14ac:dyDescent="0.2">
      <c r="A19" s="461" t="s">
        <v>29</v>
      </c>
      <c r="B19" s="462" t="s">
        <v>562</v>
      </c>
      <c r="C19" s="463"/>
      <c r="D19" s="855"/>
    </row>
    <row r="20" spans="1:4" ht="18" customHeight="1" x14ac:dyDescent="0.2">
      <c r="A20" s="461" t="s">
        <v>30</v>
      </c>
      <c r="B20" s="462" t="s">
        <v>563</v>
      </c>
      <c r="C20" s="463"/>
      <c r="D20" s="855"/>
    </row>
    <row r="21" spans="1:4" ht="18" customHeight="1" x14ac:dyDescent="0.2">
      <c r="A21" s="461" t="s">
        <v>31</v>
      </c>
      <c r="B21" s="462" t="s">
        <v>564</v>
      </c>
      <c r="C21" s="463"/>
      <c r="D21" s="855"/>
    </row>
    <row r="22" spans="1:4" ht="18" customHeight="1" x14ac:dyDescent="0.2">
      <c r="A22" s="461" t="s">
        <v>32</v>
      </c>
      <c r="B22" s="462" t="s">
        <v>565</v>
      </c>
      <c r="C22" s="463"/>
      <c r="D22" s="855"/>
    </row>
    <row r="23" spans="1:4" ht="18" customHeight="1" x14ac:dyDescent="0.2">
      <c r="A23" s="461" t="s">
        <v>33</v>
      </c>
      <c r="B23" s="468"/>
      <c r="C23" s="35"/>
      <c r="D23" s="855"/>
    </row>
    <row r="24" spans="1:4" ht="18" customHeight="1" x14ac:dyDescent="0.2">
      <c r="A24" s="461" t="s">
        <v>34</v>
      </c>
      <c r="B24" s="469"/>
      <c r="C24" s="35"/>
      <c r="D24" s="855"/>
    </row>
    <row r="25" spans="1:4" ht="18" customHeight="1" x14ac:dyDescent="0.2">
      <c r="A25" s="461" t="s">
        <v>35</v>
      </c>
      <c r="B25" s="469"/>
      <c r="C25" s="35"/>
      <c r="D25" s="855"/>
    </row>
    <row r="26" spans="1:4" ht="18" customHeight="1" x14ac:dyDescent="0.2">
      <c r="A26" s="461" t="s">
        <v>36</v>
      </c>
      <c r="B26" s="469"/>
      <c r="C26" s="35"/>
      <c r="D26" s="855"/>
    </row>
    <row r="27" spans="1:4" ht="18" customHeight="1" x14ac:dyDescent="0.2">
      <c r="A27" s="461" t="s">
        <v>37</v>
      </c>
      <c r="B27" s="469"/>
      <c r="C27" s="35"/>
      <c r="D27" s="855"/>
    </row>
    <row r="28" spans="1:4" ht="18" customHeight="1" x14ac:dyDescent="0.2">
      <c r="A28" s="461" t="s">
        <v>38</v>
      </c>
      <c r="B28" s="469"/>
      <c r="C28" s="35"/>
      <c r="D28" s="855"/>
    </row>
    <row r="29" spans="1:4" ht="18" customHeight="1" x14ac:dyDescent="0.2">
      <c r="A29" s="461" t="s">
        <v>39</v>
      </c>
      <c r="B29" s="469"/>
      <c r="C29" s="35"/>
      <c r="D29" s="855"/>
    </row>
    <row r="30" spans="1:4" ht="18" customHeight="1" x14ac:dyDescent="0.2">
      <c r="A30" s="461" t="s">
        <v>40</v>
      </c>
      <c r="B30" s="469"/>
      <c r="C30" s="35"/>
      <c r="D30" s="855"/>
    </row>
    <row r="31" spans="1:4" ht="18" customHeight="1" thickBot="1" x14ac:dyDescent="0.25">
      <c r="A31" s="470" t="s">
        <v>41</v>
      </c>
      <c r="B31" s="471"/>
      <c r="C31" s="472"/>
      <c r="D31" s="856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6"/>
      <c r="B33" s="1534"/>
      <c r="C33" s="1534"/>
      <c r="D33" s="1534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B15" sqref="B15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34" t="str">
        <f>CONCATENATE("4. melléklet"," ",ALAPADATOK!A7," ",ALAPADATOK!B7," ",ALAPADATOK!C7," ",ALAPADATOK!D7," ",ALAPADATOK!E7," ",ALAPADATOK!F7," ",ALAPADATOK!G7," ",ALAPADATOK!H7)</f>
        <v>4. melléklet a 15 / 2021. ( IX.30. ) önkormányzati rendelethez</v>
      </c>
      <c r="B1" s="1434"/>
      <c r="C1" s="1434"/>
    </row>
    <row r="2" spans="1:4" s="816" customFormat="1" x14ac:dyDescent="0.25">
      <c r="A2" s="692"/>
      <c r="B2" s="692"/>
      <c r="C2" s="692"/>
    </row>
    <row r="3" spans="1:4" s="671" customFormat="1" x14ac:dyDescent="0.25">
      <c r="A3" s="1439" t="str">
        <f>CONCATENATE(ALAPADATOK!A3)</f>
        <v>Tiszavasvári Város Önkormányzat</v>
      </c>
      <c r="B3" s="1439"/>
      <c r="C3" s="1439"/>
      <c r="D3" s="671" t="s">
        <v>710</v>
      </c>
    </row>
    <row r="4" spans="1:4" s="671" customFormat="1" x14ac:dyDescent="0.25">
      <c r="A4" s="1438" t="str">
        <f>CONCATENATE(ALAPADATOK!D7," ÉVI KÖLTSÉGVETÉS")</f>
        <v>2021. ÉVI KÖLTSÉGVETÉS</v>
      </c>
      <c r="B4" s="1438"/>
      <c r="C4" s="1438"/>
      <c r="D4" s="671" t="s">
        <v>987</v>
      </c>
    </row>
    <row r="5" spans="1:4" s="671" customFormat="1" x14ac:dyDescent="0.25">
      <c r="A5" s="1438" t="s">
        <v>718</v>
      </c>
      <c r="B5" s="1438"/>
      <c r="C5" s="1438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36" t="s">
        <v>13</v>
      </c>
      <c r="B7" s="1436"/>
      <c r="C7" s="1436"/>
    </row>
    <row r="8" spans="1:4" ht="15.95" customHeight="1" thickBot="1" x14ac:dyDescent="0.3">
      <c r="A8" s="1435" t="s">
        <v>115</v>
      </c>
      <c r="B8" s="1435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9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88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36" t="s">
        <v>44</v>
      </c>
      <c r="B96" s="1436"/>
      <c r="C96" s="1436"/>
    </row>
    <row r="97" spans="1:3" s="193" customFormat="1" ht="16.5" customHeight="1" thickBot="1" x14ac:dyDescent="0.3">
      <c r="A97" s="1437" t="s">
        <v>116</v>
      </c>
      <c r="B97" s="1437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64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328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64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6"/>
    </row>
    <row r="107" spans="1:3" ht="12" customHeight="1" x14ac:dyDescent="0.25">
      <c r="A107" s="11" t="s">
        <v>91</v>
      </c>
      <c r="B107" s="60" t="s">
        <v>406</v>
      </c>
      <c r="C107" s="866"/>
    </row>
    <row r="108" spans="1:3" ht="12" customHeight="1" x14ac:dyDescent="0.25">
      <c r="A108" s="11" t="s">
        <v>101</v>
      </c>
      <c r="B108" s="60" t="s">
        <v>407</v>
      </c>
      <c r="C108" s="866"/>
    </row>
    <row r="109" spans="1:3" ht="12" customHeight="1" x14ac:dyDescent="0.25">
      <c r="A109" s="11" t="s">
        <v>102</v>
      </c>
      <c r="B109" s="58" t="s">
        <v>286</v>
      </c>
      <c r="C109" s="866"/>
    </row>
    <row r="110" spans="1:3" ht="12" customHeight="1" x14ac:dyDescent="0.25">
      <c r="A110" s="11" t="s">
        <v>103</v>
      </c>
      <c r="B110" s="59" t="s">
        <v>287</v>
      </c>
      <c r="C110" s="866"/>
    </row>
    <row r="111" spans="1:3" ht="12" customHeight="1" x14ac:dyDescent="0.25">
      <c r="A111" s="11" t="s">
        <v>104</v>
      </c>
      <c r="B111" s="59" t="s">
        <v>288</v>
      </c>
      <c r="C111" s="866"/>
    </row>
    <row r="112" spans="1:3" ht="12" customHeight="1" x14ac:dyDescent="0.25">
      <c r="A112" s="11" t="s">
        <v>106</v>
      </c>
      <c r="B112" s="58" t="s">
        <v>289</v>
      </c>
      <c r="C112" s="866"/>
    </row>
    <row r="113" spans="1:3" ht="12" customHeight="1" x14ac:dyDescent="0.25">
      <c r="A113" s="11" t="s">
        <v>138</v>
      </c>
      <c r="B113" s="58" t="s">
        <v>290</v>
      </c>
      <c r="C113" s="866"/>
    </row>
    <row r="114" spans="1:3" ht="12" customHeight="1" x14ac:dyDescent="0.25">
      <c r="A114" s="11" t="s">
        <v>284</v>
      </c>
      <c r="B114" s="59" t="s">
        <v>291</v>
      </c>
      <c r="C114" s="866"/>
    </row>
    <row r="115" spans="1:3" ht="12" customHeight="1" x14ac:dyDescent="0.25">
      <c r="A115" s="10" t="s">
        <v>285</v>
      </c>
      <c r="B115" s="60" t="s">
        <v>292</v>
      </c>
      <c r="C115" s="866"/>
    </row>
    <row r="116" spans="1:3" ht="12" customHeight="1" x14ac:dyDescent="0.25">
      <c r="A116" s="11" t="s">
        <v>408</v>
      </c>
      <c r="B116" s="60" t="s">
        <v>293</v>
      </c>
      <c r="C116" s="866"/>
    </row>
    <row r="117" spans="1:3" ht="12" customHeight="1" x14ac:dyDescent="0.25">
      <c r="A117" s="13" t="s">
        <v>409</v>
      </c>
      <c r="B117" s="60" t="s">
        <v>294</v>
      </c>
      <c r="C117" s="865"/>
    </row>
    <row r="118" spans="1:3" ht="12" customHeight="1" x14ac:dyDescent="0.25">
      <c r="A118" s="11" t="s">
        <v>410</v>
      </c>
      <c r="B118" s="8" t="s">
        <v>47</v>
      </c>
      <c r="C118" s="864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64"/>
    </row>
    <row r="125" spans="1:3" ht="12" customHeight="1" x14ac:dyDescent="0.25">
      <c r="A125" s="12" t="s">
        <v>95</v>
      </c>
      <c r="B125" s="9" t="s">
        <v>300</v>
      </c>
      <c r="C125" s="865"/>
    </row>
    <row r="126" spans="1:3" ht="12" customHeight="1" x14ac:dyDescent="0.25">
      <c r="A126" s="12" t="s">
        <v>96</v>
      </c>
      <c r="B126" s="109" t="s">
        <v>161</v>
      </c>
      <c r="C126" s="865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5"/>
    </row>
    <row r="128" spans="1:3" ht="12" customHeight="1" x14ac:dyDescent="0.25">
      <c r="A128" s="12" t="s">
        <v>107</v>
      </c>
      <c r="B128" s="180" t="s">
        <v>305</v>
      </c>
      <c r="C128" s="865"/>
    </row>
    <row r="129" spans="1:3" x14ac:dyDescent="0.25">
      <c r="A129" s="12" t="s">
        <v>140</v>
      </c>
      <c r="B129" s="59" t="s">
        <v>288</v>
      </c>
      <c r="C129" s="865"/>
    </row>
    <row r="130" spans="1:3" ht="12" customHeight="1" x14ac:dyDescent="0.25">
      <c r="A130" s="12" t="s">
        <v>141</v>
      </c>
      <c r="B130" s="59" t="s">
        <v>304</v>
      </c>
      <c r="C130" s="865"/>
    </row>
    <row r="131" spans="1:3" ht="12" customHeight="1" x14ac:dyDescent="0.25">
      <c r="A131" s="12" t="s">
        <v>142</v>
      </c>
      <c r="B131" s="59" t="s">
        <v>303</v>
      </c>
      <c r="C131" s="865"/>
    </row>
    <row r="132" spans="1:3" ht="12" customHeight="1" x14ac:dyDescent="0.25">
      <c r="A132" s="12" t="s">
        <v>296</v>
      </c>
      <c r="B132" s="59" t="s">
        <v>291</v>
      </c>
      <c r="C132" s="865"/>
    </row>
    <row r="133" spans="1:3" ht="12" customHeight="1" x14ac:dyDescent="0.25">
      <c r="A133" s="12" t="s">
        <v>297</v>
      </c>
      <c r="B133" s="59" t="s">
        <v>302</v>
      </c>
      <c r="C133" s="865"/>
    </row>
    <row r="134" spans="1:3" ht="16.5" thickBot="1" x14ac:dyDescent="0.3">
      <c r="A134" s="10" t="s">
        <v>298</v>
      </c>
      <c r="B134" s="59" t="s">
        <v>301</v>
      </c>
      <c r="C134" s="866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38" t="s">
        <v>308</v>
      </c>
      <c r="B163" s="1438"/>
      <c r="C163" s="1438"/>
    </row>
    <row r="164" spans="1:3" ht="15" customHeight="1" thickBot="1" x14ac:dyDescent="0.3">
      <c r="A164" s="1435" t="s">
        <v>117</v>
      </c>
      <c r="B164" s="1435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topLeftCell="C1" zoomScale="130" zoomScaleNormal="130" zoomScalePageLayoutView="85" workbookViewId="0">
      <selection activeCell="F31" sqref="F31"/>
    </sheetView>
  </sheetViews>
  <sheetFormatPr defaultRowHeight="15.75" x14ac:dyDescent="0.25"/>
  <cols>
    <col min="1" max="1" width="7.83203125" style="40" customWidth="1"/>
    <col min="2" max="2" width="31.1640625" style="774" customWidth="1"/>
    <col min="3" max="13" width="12.5" style="774" customWidth="1"/>
    <col min="14" max="14" width="13.5" style="774" bestFit="1" customWidth="1"/>
    <col min="15" max="15" width="12.5" style="425" customWidth="1"/>
    <col min="16" max="16" width="14.6640625" style="781" hidden="1" customWidth="1"/>
    <col min="17" max="17" width="16.6640625" style="781" hidden="1" customWidth="1"/>
    <col min="18" max="18" width="9.33203125" style="774" customWidth="1"/>
    <col min="19" max="16384" width="9.33203125" style="774"/>
  </cols>
  <sheetData>
    <row r="1" spans="1:17" x14ac:dyDescent="0.25">
      <c r="A1" s="1535" t="str">
        <f>CONCATENATE("34. melléklet ",ALAPADATOK!A7," ",ALAPADATOK!B7," ",ALAPADATOK!C7," ",ALAPADATOK!D7," ",ALAPADATOK!E7," ",ALAPADATOK!F7," ",ALAPADATOK!G7," ",ALAPADATOK!H7)</f>
        <v>34. melléklet a 15 / 2021. ( IX.30. ) önkormányzati rendelethez</v>
      </c>
      <c r="B1" s="1535"/>
      <c r="C1" s="1535"/>
      <c r="D1" s="1535"/>
      <c r="E1" s="1535"/>
      <c r="F1" s="1535"/>
      <c r="G1" s="1535"/>
      <c r="H1" s="1535"/>
      <c r="I1" s="1535"/>
      <c r="J1" s="1535"/>
      <c r="K1" s="1535"/>
      <c r="L1" s="1535"/>
      <c r="M1" s="1535"/>
      <c r="N1" s="1535"/>
      <c r="O1" s="1535"/>
    </row>
    <row r="2" spans="1:17" x14ac:dyDescent="0.25">
      <c r="A2" s="877"/>
      <c r="B2" s="877"/>
      <c r="C2" s="877"/>
      <c r="D2" s="877"/>
      <c r="E2" s="877"/>
      <c r="F2" s="877"/>
      <c r="G2" s="877"/>
      <c r="H2" s="877"/>
      <c r="I2" s="877"/>
      <c r="J2" s="877"/>
      <c r="K2" s="877"/>
      <c r="L2" s="877"/>
      <c r="M2" s="877"/>
      <c r="N2" s="877"/>
      <c r="O2" s="951" t="s">
        <v>782</v>
      </c>
    </row>
    <row r="3" spans="1:17" ht="36" customHeight="1" x14ac:dyDescent="0.3">
      <c r="A3" s="1536" t="s">
        <v>936</v>
      </c>
      <c r="B3" s="1537"/>
      <c r="C3" s="1537"/>
      <c r="D3" s="1537"/>
      <c r="E3" s="1537"/>
      <c r="F3" s="1537"/>
      <c r="G3" s="1537"/>
      <c r="H3" s="1537"/>
      <c r="I3" s="1537"/>
      <c r="J3" s="1537"/>
      <c r="K3" s="1537"/>
      <c r="L3" s="1537"/>
      <c r="M3" s="1537"/>
      <c r="N3" s="1537"/>
      <c r="O3" s="1537"/>
    </row>
    <row r="4" spans="1:17" ht="36" customHeight="1" thickBot="1" x14ac:dyDescent="0.35">
      <c r="A4" s="1536"/>
      <c r="B4" s="1536"/>
      <c r="C4" s="1536"/>
      <c r="D4" s="1536"/>
      <c r="E4" s="1536"/>
      <c r="F4" s="1536"/>
      <c r="G4" s="1536"/>
      <c r="H4" s="1536"/>
      <c r="I4" s="1536"/>
      <c r="J4" s="1536"/>
      <c r="K4" s="1536"/>
      <c r="L4" s="1536"/>
      <c r="M4" s="1536"/>
      <c r="N4" s="1536"/>
      <c r="O4" s="1536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38" t="s">
        <v>1061</v>
      </c>
      <c r="C6" s="1539"/>
      <c r="D6" s="1539"/>
      <c r="E6" s="1539"/>
      <c r="F6" s="1539"/>
      <c r="G6" s="1539"/>
      <c r="H6" s="1539"/>
      <c r="I6" s="1539"/>
      <c r="J6" s="1539"/>
      <c r="K6" s="1539"/>
      <c r="L6" s="1539"/>
      <c r="M6" s="1539"/>
      <c r="N6" s="1539"/>
      <c r="O6" s="1540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</f>
        <v>7080533</v>
      </c>
      <c r="O8" s="361">
        <f t="shared" si="0"/>
        <v>358216768</v>
      </c>
      <c r="P8" s="362">
        <f>'1.1.sz.mell. '!C20</f>
        <v>358216768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v>755184</v>
      </c>
      <c r="M9" s="241">
        <f>21590900+755184</f>
        <v>22346084</v>
      </c>
      <c r="N9" s="241">
        <v>755182</v>
      </c>
      <c r="O9" s="361">
        <f t="shared" si="0"/>
        <v>1512582898</v>
      </c>
      <c r="P9" s="362">
        <f>'1.1.sz.mell. '!C27</f>
        <v>1512582898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</f>
        <v>30901631</v>
      </c>
      <c r="O11" s="361">
        <f t="shared" si="0"/>
        <v>367517639</v>
      </c>
      <c r="P11" s="362">
        <f>'1.1.sz.mell. '!C41</f>
        <v>367517639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v>100000</v>
      </c>
      <c r="N13" s="240">
        <v>100000</v>
      </c>
      <c r="O13" s="361">
        <f t="shared" si="0"/>
        <v>11474000</v>
      </c>
      <c r="P13" s="362">
        <f>'1.1.sz.mell. '!C59</f>
        <v>11474000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</f>
        <v>83966750</v>
      </c>
      <c r="O15" s="361">
        <f t="shared" si="0"/>
        <v>1774011918</v>
      </c>
      <c r="P15" s="364">
        <f>'1.1.sz.mell. '!C93</f>
        <v>1774011918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256935111</v>
      </c>
      <c r="M16" s="47">
        <f t="shared" si="2"/>
        <v>283907338</v>
      </c>
      <c r="N16" s="47">
        <f t="shared" si="2"/>
        <v>384564996</v>
      </c>
      <c r="O16" s="1213">
        <f>SUM(C16:N16)</f>
        <v>6138149191</v>
      </c>
      <c r="P16" s="366">
        <f>SUM(P7:P15)</f>
        <v>6138149191</v>
      </c>
      <c r="Q16" s="367">
        <f t="shared" si="1"/>
        <v>0</v>
      </c>
    </row>
    <row r="17" spans="1:17" s="42" customFormat="1" ht="15" customHeight="1" thickBot="1" x14ac:dyDescent="0.25">
      <c r="A17" s="41"/>
      <c r="B17" s="1538" t="s">
        <v>1062</v>
      </c>
      <c r="C17" s="1539"/>
      <c r="D17" s="1539"/>
      <c r="E17" s="1539"/>
      <c r="F17" s="1539"/>
      <c r="G17" s="1539"/>
      <c r="H17" s="1539"/>
      <c r="I17" s="1539"/>
      <c r="J17" s="1539"/>
      <c r="K17" s="1539"/>
      <c r="L17" s="1539"/>
      <c r="M17" s="1539"/>
      <c r="N17" s="1539"/>
      <c r="O17" s="1540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</f>
        <v>104208494</v>
      </c>
      <c r="O18" s="361">
        <f t="shared" ref="O18:O28" si="4">SUM(C18:N18)</f>
        <v>1258181723</v>
      </c>
      <c r="P18" s="427">
        <f>'1.1.sz.mell. '!C100</f>
        <v>1258181723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</f>
        <v>17723723</v>
      </c>
      <c r="O19" s="361">
        <f t="shared" si="4"/>
        <v>213032145</v>
      </c>
      <c r="P19" s="427">
        <f>'1.1.sz.mell. '!C101</f>
        <v>213032145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</f>
        <v>113633627</v>
      </c>
      <c r="M20" s="240">
        <f>82500000-774095+1112041-960000+31340507+415174</f>
        <v>113633627</v>
      </c>
      <c r="N20" s="240">
        <f>82500000+37137-774101+1112038-960000+31340507+415175</f>
        <v>113670756</v>
      </c>
      <c r="O20" s="361">
        <f t="shared" si="4"/>
        <v>1142101731</v>
      </c>
      <c r="P20" s="427">
        <f>'1.1.sz.mell. '!C102</f>
        <v>1142101731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v>20000000</v>
      </c>
      <c r="O21" s="361">
        <f t="shared" si="4"/>
        <v>56500000</v>
      </c>
      <c r="P21" s="427">
        <f>'1.1.sz.mell. '!C103</f>
        <v>56500000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</f>
        <v>22783823</v>
      </c>
      <c r="O22" s="361">
        <f t="shared" si="4"/>
        <v>252838130</v>
      </c>
      <c r="P22" s="362">
        <f>'1.1.sz.mell. '!C104</f>
        <v>252838130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v>2264026</v>
      </c>
      <c r="N23" s="240">
        <f>360000000+2264024-103156039+16679802</f>
        <v>275787787</v>
      </c>
      <c r="O23" s="361">
        <f t="shared" si="4"/>
        <v>547942176</v>
      </c>
      <c r="P23" s="362">
        <f>'1.1.sz.mell. '!C121</f>
        <v>547942176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</f>
        <v>1281929766</v>
      </c>
      <c r="O24" s="361">
        <f t="shared" si="4"/>
        <v>1641313272</v>
      </c>
      <c r="P24" s="362">
        <f>'1.1.sz.mell. '!C123</f>
        <v>1641313272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</f>
        <v>87054510</v>
      </c>
      <c r="O26" s="361">
        <f t="shared" si="4"/>
        <v>96367711</v>
      </c>
      <c r="P26" s="362">
        <f>'1.1.sz.mell. '!C117</f>
        <v>96367711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</f>
        <v>86250000</v>
      </c>
      <c r="O27" s="361">
        <f t="shared" si="4"/>
        <v>923960497</v>
      </c>
      <c r="P27" s="364">
        <f>'1.1.sz.mell. '!C159</f>
        <v>923960497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417257834</v>
      </c>
      <c r="M28" s="47">
        <f t="shared" si="7"/>
        <v>331660817</v>
      </c>
      <c r="N28" s="47">
        <f t="shared" si="7"/>
        <v>2009408859</v>
      </c>
      <c r="O28" s="1213">
        <f t="shared" si="4"/>
        <v>6138149191</v>
      </c>
      <c r="P28" s="366">
        <f>SUM(P18:P27)</f>
        <v>6138149191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-160322723</v>
      </c>
      <c r="M29" s="49">
        <f t="shared" si="8"/>
        <v>-47753479</v>
      </c>
      <c r="N29" s="49">
        <f t="shared" si="8"/>
        <v>-1624843863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topLeftCell="A40" zoomScaleNormal="100" zoomScaleSheetLayoutView="85" workbookViewId="0">
      <selection activeCell="G64" sqref="G64"/>
    </sheetView>
  </sheetViews>
  <sheetFormatPr defaultColWidth="10.6640625" defaultRowHeight="15.75" x14ac:dyDescent="0.25"/>
  <cols>
    <col min="1" max="1" width="10.6640625" style="817"/>
    <col min="2" max="2" width="16" style="817" customWidth="1"/>
    <col min="3" max="3" width="97.33203125" style="817" customWidth="1"/>
    <col min="4" max="4" width="27.5" style="1032" customWidth="1"/>
    <col min="5" max="5" width="16.5" style="817" bestFit="1" customWidth="1"/>
    <col min="6" max="6" width="18.6640625" style="817" bestFit="1" customWidth="1"/>
    <col min="7" max="258" width="10.6640625" style="817"/>
    <col min="259" max="259" width="60.1640625" style="817" customWidth="1"/>
    <col min="260" max="260" width="48.83203125" style="817" customWidth="1"/>
    <col min="261" max="261" width="16.5" style="817" bestFit="1" customWidth="1"/>
    <col min="262" max="262" width="15" style="817" customWidth="1"/>
    <col min="263" max="514" width="10.6640625" style="817"/>
    <col min="515" max="515" width="60.1640625" style="817" customWidth="1"/>
    <col min="516" max="516" width="48.83203125" style="817" customWidth="1"/>
    <col min="517" max="517" width="16.5" style="817" bestFit="1" customWidth="1"/>
    <col min="518" max="518" width="15" style="817" customWidth="1"/>
    <col min="519" max="770" width="10.6640625" style="817"/>
    <col min="771" max="771" width="60.1640625" style="817" customWidth="1"/>
    <col min="772" max="772" width="48.83203125" style="817" customWidth="1"/>
    <col min="773" max="773" width="16.5" style="817" bestFit="1" customWidth="1"/>
    <col min="774" max="774" width="15" style="817" customWidth="1"/>
    <col min="775" max="1026" width="10.6640625" style="817"/>
    <col min="1027" max="1027" width="60.1640625" style="817" customWidth="1"/>
    <col min="1028" max="1028" width="48.83203125" style="817" customWidth="1"/>
    <col min="1029" max="1029" width="16.5" style="817" bestFit="1" customWidth="1"/>
    <col min="1030" max="1030" width="15" style="817" customWidth="1"/>
    <col min="1031" max="1282" width="10.6640625" style="817"/>
    <col min="1283" max="1283" width="60.1640625" style="817" customWidth="1"/>
    <col min="1284" max="1284" width="48.83203125" style="817" customWidth="1"/>
    <col min="1285" max="1285" width="16.5" style="817" bestFit="1" customWidth="1"/>
    <col min="1286" max="1286" width="15" style="817" customWidth="1"/>
    <col min="1287" max="1538" width="10.6640625" style="817"/>
    <col min="1539" max="1539" width="60.1640625" style="817" customWidth="1"/>
    <col min="1540" max="1540" width="48.83203125" style="817" customWidth="1"/>
    <col min="1541" max="1541" width="16.5" style="817" bestFit="1" customWidth="1"/>
    <col min="1542" max="1542" width="15" style="817" customWidth="1"/>
    <col min="1543" max="1794" width="10.6640625" style="817"/>
    <col min="1795" max="1795" width="60.1640625" style="817" customWidth="1"/>
    <col min="1796" max="1796" width="48.83203125" style="817" customWidth="1"/>
    <col min="1797" max="1797" width="16.5" style="817" bestFit="1" customWidth="1"/>
    <col min="1798" max="1798" width="15" style="817" customWidth="1"/>
    <col min="1799" max="2050" width="10.6640625" style="817"/>
    <col min="2051" max="2051" width="60.1640625" style="817" customWidth="1"/>
    <col min="2052" max="2052" width="48.83203125" style="817" customWidth="1"/>
    <col min="2053" max="2053" width="16.5" style="817" bestFit="1" customWidth="1"/>
    <col min="2054" max="2054" width="15" style="817" customWidth="1"/>
    <col min="2055" max="2306" width="10.6640625" style="817"/>
    <col min="2307" max="2307" width="60.1640625" style="817" customWidth="1"/>
    <col min="2308" max="2308" width="48.83203125" style="817" customWidth="1"/>
    <col min="2309" max="2309" width="16.5" style="817" bestFit="1" customWidth="1"/>
    <col min="2310" max="2310" width="15" style="817" customWidth="1"/>
    <col min="2311" max="2562" width="10.6640625" style="817"/>
    <col min="2563" max="2563" width="60.1640625" style="817" customWidth="1"/>
    <col min="2564" max="2564" width="48.83203125" style="817" customWidth="1"/>
    <col min="2565" max="2565" width="16.5" style="817" bestFit="1" customWidth="1"/>
    <col min="2566" max="2566" width="15" style="817" customWidth="1"/>
    <col min="2567" max="2818" width="10.6640625" style="817"/>
    <col min="2819" max="2819" width="60.1640625" style="817" customWidth="1"/>
    <col min="2820" max="2820" width="48.83203125" style="817" customWidth="1"/>
    <col min="2821" max="2821" width="16.5" style="817" bestFit="1" customWidth="1"/>
    <col min="2822" max="2822" width="15" style="817" customWidth="1"/>
    <col min="2823" max="3074" width="10.6640625" style="817"/>
    <col min="3075" max="3075" width="60.1640625" style="817" customWidth="1"/>
    <col min="3076" max="3076" width="48.83203125" style="817" customWidth="1"/>
    <col min="3077" max="3077" width="16.5" style="817" bestFit="1" customWidth="1"/>
    <col min="3078" max="3078" width="15" style="817" customWidth="1"/>
    <col min="3079" max="3330" width="10.6640625" style="817"/>
    <col min="3331" max="3331" width="60.1640625" style="817" customWidth="1"/>
    <col min="3332" max="3332" width="48.83203125" style="817" customWidth="1"/>
    <col min="3333" max="3333" width="16.5" style="817" bestFit="1" customWidth="1"/>
    <col min="3334" max="3334" width="15" style="817" customWidth="1"/>
    <col min="3335" max="3586" width="10.6640625" style="817"/>
    <col min="3587" max="3587" width="60.1640625" style="817" customWidth="1"/>
    <col min="3588" max="3588" width="48.83203125" style="817" customWidth="1"/>
    <col min="3589" max="3589" width="16.5" style="817" bestFit="1" customWidth="1"/>
    <col min="3590" max="3590" width="15" style="817" customWidth="1"/>
    <col min="3591" max="3842" width="10.6640625" style="817"/>
    <col min="3843" max="3843" width="60.1640625" style="817" customWidth="1"/>
    <col min="3844" max="3844" width="48.83203125" style="817" customWidth="1"/>
    <col min="3845" max="3845" width="16.5" style="817" bestFit="1" customWidth="1"/>
    <col min="3846" max="3846" width="15" style="817" customWidth="1"/>
    <col min="3847" max="4098" width="10.6640625" style="817"/>
    <col min="4099" max="4099" width="60.1640625" style="817" customWidth="1"/>
    <col min="4100" max="4100" width="48.83203125" style="817" customWidth="1"/>
    <col min="4101" max="4101" width="16.5" style="817" bestFit="1" customWidth="1"/>
    <col min="4102" max="4102" width="15" style="817" customWidth="1"/>
    <col min="4103" max="4354" width="10.6640625" style="817"/>
    <col min="4355" max="4355" width="60.1640625" style="817" customWidth="1"/>
    <col min="4356" max="4356" width="48.83203125" style="817" customWidth="1"/>
    <col min="4357" max="4357" width="16.5" style="817" bestFit="1" customWidth="1"/>
    <col min="4358" max="4358" width="15" style="817" customWidth="1"/>
    <col min="4359" max="4610" width="10.6640625" style="817"/>
    <col min="4611" max="4611" width="60.1640625" style="817" customWidth="1"/>
    <col min="4612" max="4612" width="48.83203125" style="817" customWidth="1"/>
    <col min="4613" max="4613" width="16.5" style="817" bestFit="1" customWidth="1"/>
    <col min="4614" max="4614" width="15" style="817" customWidth="1"/>
    <col min="4615" max="4866" width="10.6640625" style="817"/>
    <col min="4867" max="4867" width="60.1640625" style="817" customWidth="1"/>
    <col min="4868" max="4868" width="48.83203125" style="817" customWidth="1"/>
    <col min="4869" max="4869" width="16.5" style="817" bestFit="1" customWidth="1"/>
    <col min="4870" max="4870" width="15" style="817" customWidth="1"/>
    <col min="4871" max="5122" width="10.6640625" style="817"/>
    <col min="5123" max="5123" width="60.1640625" style="817" customWidth="1"/>
    <col min="5124" max="5124" width="48.83203125" style="817" customWidth="1"/>
    <col min="5125" max="5125" width="16.5" style="817" bestFit="1" customWidth="1"/>
    <col min="5126" max="5126" width="15" style="817" customWidth="1"/>
    <col min="5127" max="5378" width="10.6640625" style="817"/>
    <col min="5379" max="5379" width="60.1640625" style="817" customWidth="1"/>
    <col min="5380" max="5380" width="48.83203125" style="817" customWidth="1"/>
    <col min="5381" max="5381" width="16.5" style="817" bestFit="1" customWidth="1"/>
    <col min="5382" max="5382" width="15" style="817" customWidth="1"/>
    <col min="5383" max="5634" width="10.6640625" style="817"/>
    <col min="5635" max="5635" width="60.1640625" style="817" customWidth="1"/>
    <col min="5636" max="5636" width="48.83203125" style="817" customWidth="1"/>
    <col min="5637" max="5637" width="16.5" style="817" bestFit="1" customWidth="1"/>
    <col min="5638" max="5638" width="15" style="817" customWidth="1"/>
    <col min="5639" max="5890" width="10.6640625" style="817"/>
    <col min="5891" max="5891" width="60.1640625" style="817" customWidth="1"/>
    <col min="5892" max="5892" width="48.83203125" style="817" customWidth="1"/>
    <col min="5893" max="5893" width="16.5" style="817" bestFit="1" customWidth="1"/>
    <col min="5894" max="5894" width="15" style="817" customWidth="1"/>
    <col min="5895" max="6146" width="10.6640625" style="817"/>
    <col min="6147" max="6147" width="60.1640625" style="817" customWidth="1"/>
    <col min="6148" max="6148" width="48.83203125" style="817" customWidth="1"/>
    <col min="6149" max="6149" width="16.5" style="817" bestFit="1" customWidth="1"/>
    <col min="6150" max="6150" width="15" style="817" customWidth="1"/>
    <col min="6151" max="6402" width="10.6640625" style="817"/>
    <col min="6403" max="6403" width="60.1640625" style="817" customWidth="1"/>
    <col min="6404" max="6404" width="48.83203125" style="817" customWidth="1"/>
    <col min="6405" max="6405" width="16.5" style="817" bestFit="1" customWidth="1"/>
    <col min="6406" max="6406" width="15" style="817" customWidth="1"/>
    <col min="6407" max="6658" width="10.6640625" style="817"/>
    <col min="6659" max="6659" width="60.1640625" style="817" customWidth="1"/>
    <col min="6660" max="6660" width="48.83203125" style="817" customWidth="1"/>
    <col min="6661" max="6661" width="16.5" style="817" bestFit="1" customWidth="1"/>
    <col min="6662" max="6662" width="15" style="817" customWidth="1"/>
    <col min="6663" max="6914" width="10.6640625" style="817"/>
    <col min="6915" max="6915" width="60.1640625" style="817" customWidth="1"/>
    <col min="6916" max="6916" width="48.83203125" style="817" customWidth="1"/>
    <col min="6917" max="6917" width="16.5" style="817" bestFit="1" customWidth="1"/>
    <col min="6918" max="6918" width="15" style="817" customWidth="1"/>
    <col min="6919" max="7170" width="10.6640625" style="817"/>
    <col min="7171" max="7171" width="60.1640625" style="817" customWidth="1"/>
    <col min="7172" max="7172" width="48.83203125" style="817" customWidth="1"/>
    <col min="7173" max="7173" width="16.5" style="817" bestFit="1" customWidth="1"/>
    <col min="7174" max="7174" width="15" style="817" customWidth="1"/>
    <col min="7175" max="7426" width="10.6640625" style="817"/>
    <col min="7427" max="7427" width="60.1640625" style="817" customWidth="1"/>
    <col min="7428" max="7428" width="48.83203125" style="817" customWidth="1"/>
    <col min="7429" max="7429" width="16.5" style="817" bestFit="1" customWidth="1"/>
    <col min="7430" max="7430" width="15" style="817" customWidth="1"/>
    <col min="7431" max="7682" width="10.6640625" style="817"/>
    <col min="7683" max="7683" width="60.1640625" style="817" customWidth="1"/>
    <col min="7684" max="7684" width="48.83203125" style="817" customWidth="1"/>
    <col min="7685" max="7685" width="16.5" style="817" bestFit="1" customWidth="1"/>
    <col min="7686" max="7686" width="15" style="817" customWidth="1"/>
    <col min="7687" max="7938" width="10.6640625" style="817"/>
    <col min="7939" max="7939" width="60.1640625" style="817" customWidth="1"/>
    <col min="7940" max="7940" width="48.83203125" style="817" customWidth="1"/>
    <col min="7941" max="7941" width="16.5" style="817" bestFit="1" customWidth="1"/>
    <col min="7942" max="7942" width="15" style="817" customWidth="1"/>
    <col min="7943" max="8194" width="10.6640625" style="817"/>
    <col min="8195" max="8195" width="60.1640625" style="817" customWidth="1"/>
    <col min="8196" max="8196" width="48.83203125" style="817" customWidth="1"/>
    <col min="8197" max="8197" width="16.5" style="817" bestFit="1" customWidth="1"/>
    <col min="8198" max="8198" width="15" style="817" customWidth="1"/>
    <col min="8199" max="8450" width="10.6640625" style="817"/>
    <col min="8451" max="8451" width="60.1640625" style="817" customWidth="1"/>
    <col min="8452" max="8452" width="48.83203125" style="817" customWidth="1"/>
    <col min="8453" max="8453" width="16.5" style="817" bestFit="1" customWidth="1"/>
    <col min="8454" max="8454" width="15" style="817" customWidth="1"/>
    <col min="8455" max="8706" width="10.6640625" style="817"/>
    <col min="8707" max="8707" width="60.1640625" style="817" customWidth="1"/>
    <col min="8708" max="8708" width="48.83203125" style="817" customWidth="1"/>
    <col min="8709" max="8709" width="16.5" style="817" bestFit="1" customWidth="1"/>
    <col min="8710" max="8710" width="15" style="817" customWidth="1"/>
    <col min="8711" max="8962" width="10.6640625" style="817"/>
    <col min="8963" max="8963" width="60.1640625" style="817" customWidth="1"/>
    <col min="8964" max="8964" width="48.83203125" style="817" customWidth="1"/>
    <col min="8965" max="8965" width="16.5" style="817" bestFit="1" customWidth="1"/>
    <col min="8966" max="8966" width="15" style="817" customWidth="1"/>
    <col min="8967" max="9218" width="10.6640625" style="817"/>
    <col min="9219" max="9219" width="60.1640625" style="817" customWidth="1"/>
    <col min="9220" max="9220" width="48.83203125" style="817" customWidth="1"/>
    <col min="9221" max="9221" width="16.5" style="817" bestFit="1" customWidth="1"/>
    <col min="9222" max="9222" width="15" style="817" customWidth="1"/>
    <col min="9223" max="9474" width="10.6640625" style="817"/>
    <col min="9475" max="9475" width="60.1640625" style="817" customWidth="1"/>
    <col min="9476" max="9476" width="48.83203125" style="817" customWidth="1"/>
    <col min="9477" max="9477" width="16.5" style="817" bestFit="1" customWidth="1"/>
    <col min="9478" max="9478" width="15" style="817" customWidth="1"/>
    <col min="9479" max="9730" width="10.6640625" style="817"/>
    <col min="9731" max="9731" width="60.1640625" style="817" customWidth="1"/>
    <col min="9732" max="9732" width="48.83203125" style="817" customWidth="1"/>
    <col min="9733" max="9733" width="16.5" style="817" bestFit="1" customWidth="1"/>
    <col min="9734" max="9734" width="15" style="817" customWidth="1"/>
    <col min="9735" max="9986" width="10.6640625" style="817"/>
    <col min="9987" max="9987" width="60.1640625" style="817" customWidth="1"/>
    <col min="9988" max="9988" width="48.83203125" style="817" customWidth="1"/>
    <col min="9989" max="9989" width="16.5" style="817" bestFit="1" customWidth="1"/>
    <col min="9990" max="9990" width="15" style="817" customWidth="1"/>
    <col min="9991" max="10242" width="10.6640625" style="817"/>
    <col min="10243" max="10243" width="60.1640625" style="817" customWidth="1"/>
    <col min="10244" max="10244" width="48.83203125" style="817" customWidth="1"/>
    <col min="10245" max="10245" width="16.5" style="817" bestFit="1" customWidth="1"/>
    <col min="10246" max="10246" width="15" style="817" customWidth="1"/>
    <col min="10247" max="10498" width="10.6640625" style="817"/>
    <col min="10499" max="10499" width="60.1640625" style="817" customWidth="1"/>
    <col min="10500" max="10500" width="48.83203125" style="817" customWidth="1"/>
    <col min="10501" max="10501" width="16.5" style="817" bestFit="1" customWidth="1"/>
    <col min="10502" max="10502" width="15" style="817" customWidth="1"/>
    <col min="10503" max="10754" width="10.6640625" style="817"/>
    <col min="10755" max="10755" width="60.1640625" style="817" customWidth="1"/>
    <col min="10756" max="10756" width="48.83203125" style="817" customWidth="1"/>
    <col min="10757" max="10757" width="16.5" style="817" bestFit="1" customWidth="1"/>
    <col min="10758" max="10758" width="15" style="817" customWidth="1"/>
    <col min="10759" max="11010" width="10.6640625" style="817"/>
    <col min="11011" max="11011" width="60.1640625" style="817" customWidth="1"/>
    <col min="11012" max="11012" width="48.83203125" style="817" customWidth="1"/>
    <col min="11013" max="11013" width="16.5" style="817" bestFit="1" customWidth="1"/>
    <col min="11014" max="11014" width="15" style="817" customWidth="1"/>
    <col min="11015" max="11266" width="10.6640625" style="817"/>
    <col min="11267" max="11267" width="60.1640625" style="817" customWidth="1"/>
    <col min="11268" max="11268" width="48.83203125" style="817" customWidth="1"/>
    <col min="11269" max="11269" width="16.5" style="817" bestFit="1" customWidth="1"/>
    <col min="11270" max="11270" width="15" style="817" customWidth="1"/>
    <col min="11271" max="11522" width="10.6640625" style="817"/>
    <col min="11523" max="11523" width="60.1640625" style="817" customWidth="1"/>
    <col min="11524" max="11524" width="48.83203125" style="817" customWidth="1"/>
    <col min="11525" max="11525" width="16.5" style="817" bestFit="1" customWidth="1"/>
    <col min="11526" max="11526" width="15" style="817" customWidth="1"/>
    <col min="11527" max="11778" width="10.6640625" style="817"/>
    <col min="11779" max="11779" width="60.1640625" style="817" customWidth="1"/>
    <col min="11780" max="11780" width="48.83203125" style="817" customWidth="1"/>
    <col min="11781" max="11781" width="16.5" style="817" bestFit="1" customWidth="1"/>
    <col min="11782" max="11782" width="15" style="817" customWidth="1"/>
    <col min="11783" max="12034" width="10.6640625" style="817"/>
    <col min="12035" max="12035" width="60.1640625" style="817" customWidth="1"/>
    <col min="12036" max="12036" width="48.83203125" style="817" customWidth="1"/>
    <col min="12037" max="12037" width="16.5" style="817" bestFit="1" customWidth="1"/>
    <col min="12038" max="12038" width="15" style="817" customWidth="1"/>
    <col min="12039" max="12290" width="10.6640625" style="817"/>
    <col min="12291" max="12291" width="60.1640625" style="817" customWidth="1"/>
    <col min="12292" max="12292" width="48.83203125" style="817" customWidth="1"/>
    <col min="12293" max="12293" width="16.5" style="817" bestFit="1" customWidth="1"/>
    <col min="12294" max="12294" width="15" style="817" customWidth="1"/>
    <col min="12295" max="12546" width="10.6640625" style="817"/>
    <col min="12547" max="12547" width="60.1640625" style="817" customWidth="1"/>
    <col min="12548" max="12548" width="48.83203125" style="817" customWidth="1"/>
    <col min="12549" max="12549" width="16.5" style="817" bestFit="1" customWidth="1"/>
    <col min="12550" max="12550" width="15" style="817" customWidth="1"/>
    <col min="12551" max="12802" width="10.6640625" style="817"/>
    <col min="12803" max="12803" width="60.1640625" style="817" customWidth="1"/>
    <col min="12804" max="12804" width="48.83203125" style="817" customWidth="1"/>
    <col min="12805" max="12805" width="16.5" style="817" bestFit="1" customWidth="1"/>
    <col min="12806" max="12806" width="15" style="817" customWidth="1"/>
    <col min="12807" max="13058" width="10.6640625" style="817"/>
    <col min="13059" max="13059" width="60.1640625" style="817" customWidth="1"/>
    <col min="13060" max="13060" width="48.83203125" style="817" customWidth="1"/>
    <col min="13061" max="13061" width="16.5" style="817" bestFit="1" customWidth="1"/>
    <col min="13062" max="13062" width="15" style="817" customWidth="1"/>
    <col min="13063" max="13314" width="10.6640625" style="817"/>
    <col min="13315" max="13315" width="60.1640625" style="817" customWidth="1"/>
    <col min="13316" max="13316" width="48.83203125" style="817" customWidth="1"/>
    <col min="13317" max="13317" width="16.5" style="817" bestFit="1" customWidth="1"/>
    <col min="13318" max="13318" width="15" style="817" customWidth="1"/>
    <col min="13319" max="13570" width="10.6640625" style="817"/>
    <col min="13571" max="13571" width="60.1640625" style="817" customWidth="1"/>
    <col min="13572" max="13572" width="48.83203125" style="817" customWidth="1"/>
    <col min="13573" max="13573" width="16.5" style="817" bestFit="1" customWidth="1"/>
    <col min="13574" max="13574" width="15" style="817" customWidth="1"/>
    <col min="13575" max="13826" width="10.6640625" style="817"/>
    <col min="13827" max="13827" width="60.1640625" style="817" customWidth="1"/>
    <col min="13828" max="13828" width="48.83203125" style="817" customWidth="1"/>
    <col min="13829" max="13829" width="16.5" style="817" bestFit="1" customWidth="1"/>
    <col min="13830" max="13830" width="15" style="817" customWidth="1"/>
    <col min="13831" max="14082" width="10.6640625" style="817"/>
    <col min="14083" max="14083" width="60.1640625" style="817" customWidth="1"/>
    <col min="14084" max="14084" width="48.83203125" style="817" customWidth="1"/>
    <col min="14085" max="14085" width="16.5" style="817" bestFit="1" customWidth="1"/>
    <col min="14086" max="14086" width="15" style="817" customWidth="1"/>
    <col min="14087" max="14338" width="10.6640625" style="817"/>
    <col min="14339" max="14339" width="60.1640625" style="817" customWidth="1"/>
    <col min="14340" max="14340" width="48.83203125" style="817" customWidth="1"/>
    <col min="14341" max="14341" width="16.5" style="817" bestFit="1" customWidth="1"/>
    <col min="14342" max="14342" width="15" style="817" customWidth="1"/>
    <col min="14343" max="14594" width="10.6640625" style="817"/>
    <col min="14595" max="14595" width="60.1640625" style="817" customWidth="1"/>
    <col min="14596" max="14596" width="48.83203125" style="817" customWidth="1"/>
    <col min="14597" max="14597" width="16.5" style="817" bestFit="1" customWidth="1"/>
    <col min="14598" max="14598" width="15" style="817" customWidth="1"/>
    <col min="14599" max="14850" width="10.6640625" style="817"/>
    <col min="14851" max="14851" width="60.1640625" style="817" customWidth="1"/>
    <col min="14852" max="14852" width="48.83203125" style="817" customWidth="1"/>
    <col min="14853" max="14853" width="16.5" style="817" bestFit="1" customWidth="1"/>
    <col min="14854" max="14854" width="15" style="817" customWidth="1"/>
    <col min="14855" max="15106" width="10.6640625" style="817"/>
    <col min="15107" max="15107" width="60.1640625" style="817" customWidth="1"/>
    <col min="15108" max="15108" width="48.83203125" style="817" customWidth="1"/>
    <col min="15109" max="15109" width="16.5" style="817" bestFit="1" customWidth="1"/>
    <col min="15110" max="15110" width="15" style="817" customWidth="1"/>
    <col min="15111" max="15362" width="10.6640625" style="817"/>
    <col min="15363" max="15363" width="60.1640625" style="817" customWidth="1"/>
    <col min="15364" max="15364" width="48.83203125" style="817" customWidth="1"/>
    <col min="15365" max="15365" width="16.5" style="817" bestFit="1" customWidth="1"/>
    <col min="15366" max="15366" width="15" style="817" customWidth="1"/>
    <col min="15367" max="15618" width="10.6640625" style="817"/>
    <col min="15619" max="15619" width="60.1640625" style="817" customWidth="1"/>
    <col min="15620" max="15620" width="48.83203125" style="817" customWidth="1"/>
    <col min="15621" max="15621" width="16.5" style="817" bestFit="1" customWidth="1"/>
    <col min="15622" max="15622" width="15" style="817" customWidth="1"/>
    <col min="15623" max="15874" width="10.6640625" style="817"/>
    <col min="15875" max="15875" width="60.1640625" style="817" customWidth="1"/>
    <col min="15876" max="15876" width="48.83203125" style="817" customWidth="1"/>
    <col min="15877" max="15877" width="16.5" style="817" bestFit="1" customWidth="1"/>
    <col min="15878" max="15878" width="15" style="817" customWidth="1"/>
    <col min="15879" max="16130" width="10.6640625" style="817"/>
    <col min="16131" max="16131" width="60.1640625" style="817" customWidth="1"/>
    <col min="16132" max="16132" width="48.83203125" style="817" customWidth="1"/>
    <col min="16133" max="16133" width="16.5" style="817" bestFit="1" customWidth="1"/>
    <col min="16134" max="16134" width="15" style="817" customWidth="1"/>
    <col min="16135" max="16384" width="10.6640625" style="817"/>
  </cols>
  <sheetData>
    <row r="1" spans="1:4" ht="12.75" x14ac:dyDescent="0.2">
      <c r="A1" s="1543" t="str">
        <f>CONCATENATE("28. melléklet ",ALAPADATOK!A7," ",ALAPADATOK!B7," ",ALAPADATOK!C7," ",ALAPADATOK!D7," ",ALAPADATOK!E7," ",ALAPADATOK!F7," ",ALAPADATOK!G7," ",ALAPADATOK!H7)</f>
        <v>28. melléklet a 15 / 2021. ( IX.30. ) önkormányzati rendelethez</v>
      </c>
      <c r="B1" s="1543"/>
      <c r="C1" s="1543"/>
      <c r="D1" s="1543"/>
    </row>
    <row r="2" spans="1:4" ht="17.25" customHeight="1" x14ac:dyDescent="0.2">
      <c r="C2" s="235"/>
      <c r="D2" s="951" t="s">
        <v>782</v>
      </c>
    </row>
    <row r="3" spans="1:4" ht="42" customHeight="1" x14ac:dyDescent="0.2">
      <c r="A3" s="1544" t="s">
        <v>960</v>
      </c>
      <c r="B3" s="1544"/>
      <c r="C3" s="1544"/>
      <c r="D3" s="1544"/>
    </row>
    <row r="4" spans="1:4" ht="33" customHeight="1" thickBot="1" x14ac:dyDescent="0.3">
      <c r="C4" s="236"/>
      <c r="D4" s="927"/>
    </row>
    <row r="5" spans="1:4" ht="45" customHeight="1" thickBot="1" x14ac:dyDescent="0.25">
      <c r="A5" s="1395" t="s">
        <v>761</v>
      </c>
      <c r="B5" s="1396" t="s">
        <v>820</v>
      </c>
      <c r="C5" s="1397" t="s">
        <v>745</v>
      </c>
      <c r="D5" s="1398" t="s">
        <v>900</v>
      </c>
    </row>
    <row r="6" spans="1:4" x14ac:dyDescent="0.2">
      <c r="A6" s="977" t="s">
        <v>16</v>
      </c>
      <c r="B6" s="994" t="s">
        <v>821</v>
      </c>
      <c r="C6" s="976" t="s">
        <v>369</v>
      </c>
      <c r="D6" s="1247">
        <f>176568750+1181580</f>
        <v>177750330</v>
      </c>
    </row>
    <row r="7" spans="1:4" x14ac:dyDescent="0.2">
      <c r="A7" s="978" t="s">
        <v>17</v>
      </c>
      <c r="B7" s="995" t="s">
        <v>822</v>
      </c>
      <c r="C7" s="992" t="s">
        <v>823</v>
      </c>
      <c r="D7" s="1027">
        <v>19779480</v>
      </c>
    </row>
    <row r="8" spans="1:4" x14ac:dyDescent="0.2">
      <c r="A8" s="978" t="s">
        <v>18</v>
      </c>
      <c r="B8" s="995" t="s">
        <v>832</v>
      </c>
      <c r="C8" s="992" t="s">
        <v>824</v>
      </c>
      <c r="D8" s="1027">
        <v>35440000</v>
      </c>
    </row>
    <row r="9" spans="1:4" ht="15" customHeight="1" x14ac:dyDescent="0.2">
      <c r="A9" s="978" t="s">
        <v>19</v>
      </c>
      <c r="B9" s="995" t="s">
        <v>831</v>
      </c>
      <c r="C9" s="992" t="s">
        <v>825</v>
      </c>
      <c r="D9" s="1027">
        <v>7111416</v>
      </c>
    </row>
    <row r="10" spans="1:4" x14ac:dyDescent="0.2">
      <c r="A10" s="978" t="s">
        <v>20</v>
      </c>
      <c r="B10" s="995" t="s">
        <v>828</v>
      </c>
      <c r="C10" s="992" t="s">
        <v>826</v>
      </c>
      <c r="D10" s="1027">
        <v>20759151</v>
      </c>
    </row>
    <row r="11" spans="1:4" x14ac:dyDescent="0.2">
      <c r="A11" s="978" t="s">
        <v>21</v>
      </c>
      <c r="B11" s="995" t="s">
        <v>829</v>
      </c>
      <c r="C11" s="992" t="s">
        <v>827</v>
      </c>
      <c r="D11" s="1027">
        <v>35197200</v>
      </c>
    </row>
    <row r="12" spans="1:4" ht="17.25" customHeight="1" x14ac:dyDescent="0.2">
      <c r="A12" s="978" t="s">
        <v>22</v>
      </c>
      <c r="B12" s="995" t="s">
        <v>830</v>
      </c>
      <c r="C12" s="992" t="s">
        <v>370</v>
      </c>
      <c r="D12" s="1027">
        <v>153000</v>
      </c>
    </row>
    <row r="13" spans="1:4" ht="17.25" customHeight="1" thickBot="1" x14ac:dyDescent="0.25">
      <c r="A13" s="986" t="s">
        <v>23</v>
      </c>
      <c r="B13" s="998"/>
      <c r="C13" s="1000" t="s">
        <v>901</v>
      </c>
      <c r="D13" s="1028">
        <v>687600</v>
      </c>
    </row>
    <row r="14" spans="1:4" ht="32.25" thickBot="1" x14ac:dyDescent="0.25">
      <c r="A14" s="979" t="s">
        <v>24</v>
      </c>
      <c r="B14" s="996" t="s">
        <v>86</v>
      </c>
      <c r="C14" s="973" t="s">
        <v>1018</v>
      </c>
      <c r="D14" s="989">
        <f>SUM(D6:D13)</f>
        <v>296878177</v>
      </c>
    </row>
    <row r="15" spans="1:4" x14ac:dyDescent="0.2">
      <c r="A15" s="980" t="s">
        <v>25</v>
      </c>
      <c r="B15" s="1003" t="s">
        <v>833</v>
      </c>
      <c r="C15" s="1003" t="s">
        <v>834</v>
      </c>
      <c r="D15" s="1368">
        <f>33632220+38960</f>
        <v>33671180</v>
      </c>
    </row>
    <row r="16" spans="1:4" x14ac:dyDescent="0.2">
      <c r="A16" s="978" t="s">
        <v>26</v>
      </c>
      <c r="B16" s="1004" t="s">
        <v>835</v>
      </c>
      <c r="C16" s="1004" t="s">
        <v>836</v>
      </c>
      <c r="D16" s="1027">
        <v>144872700</v>
      </c>
    </row>
    <row r="17" spans="1:5" ht="31.5" x14ac:dyDescent="0.2">
      <c r="A17" s="978" t="s">
        <v>27</v>
      </c>
      <c r="B17" s="1004" t="s">
        <v>1006</v>
      </c>
      <c r="C17" s="1237" t="s">
        <v>837</v>
      </c>
      <c r="D17" s="1232">
        <f>7776000-864000</f>
        <v>6912000</v>
      </c>
    </row>
    <row r="18" spans="1:5" ht="31.5" x14ac:dyDescent="0.2">
      <c r="A18" s="978" t="s">
        <v>28</v>
      </c>
      <c r="B18" s="1004" t="s">
        <v>1007</v>
      </c>
      <c r="C18" s="1237" t="s">
        <v>838</v>
      </c>
      <c r="D18" s="1232">
        <f>6444000+1476750</f>
        <v>7920750</v>
      </c>
    </row>
    <row r="19" spans="1:5" ht="16.5" thickBot="1" x14ac:dyDescent="0.25">
      <c r="A19" s="981" t="s">
        <v>29</v>
      </c>
      <c r="B19" s="1020" t="s">
        <v>840</v>
      </c>
      <c r="C19" s="1001" t="s">
        <v>839</v>
      </c>
      <c r="D19" s="1027">
        <f>61299000+8379000</f>
        <v>69678000</v>
      </c>
    </row>
    <row r="20" spans="1:5" ht="32.25" thickBot="1" x14ac:dyDescent="0.25">
      <c r="A20" s="979" t="s">
        <v>30</v>
      </c>
      <c r="B20" s="996" t="s">
        <v>87</v>
      </c>
      <c r="C20" s="973" t="s">
        <v>1017</v>
      </c>
      <c r="D20" s="989">
        <f>SUM(D15:D19)</f>
        <v>263054630</v>
      </c>
    </row>
    <row r="21" spans="1:5" ht="31.5" customHeight="1" thickBot="1" x14ac:dyDescent="0.25">
      <c r="A21" s="974" t="s">
        <v>31</v>
      </c>
      <c r="B21" s="975" t="s">
        <v>842</v>
      </c>
      <c r="C21" s="1002" t="s">
        <v>841</v>
      </c>
      <c r="D21" s="1029">
        <v>127982119</v>
      </c>
    </row>
    <row r="22" spans="1:5" x14ac:dyDescent="0.2">
      <c r="A22" s="980" t="s">
        <v>32</v>
      </c>
      <c r="B22" s="1025" t="s">
        <v>845</v>
      </c>
      <c r="C22" s="1003" t="s">
        <v>843</v>
      </c>
      <c r="D22" s="991">
        <f>6560000+249920</f>
        <v>6809920</v>
      </c>
    </row>
    <row r="23" spans="1:5" x14ac:dyDescent="0.2">
      <c r="A23" s="978" t="s">
        <v>33</v>
      </c>
      <c r="B23" s="1026" t="s">
        <v>846</v>
      </c>
      <c r="C23" s="1004" t="s">
        <v>844</v>
      </c>
      <c r="D23" s="1027">
        <f>22630000+1107041</f>
        <v>23737041</v>
      </c>
      <c r="E23" s="237"/>
    </row>
    <row r="24" spans="1:5" x14ac:dyDescent="0.2">
      <c r="A24" s="978" t="s">
        <v>34</v>
      </c>
      <c r="B24" s="1026" t="s">
        <v>848</v>
      </c>
      <c r="C24" s="1004" t="s">
        <v>847</v>
      </c>
      <c r="D24" s="1232">
        <f>4512480+82280+135140</f>
        <v>4729900</v>
      </c>
    </row>
    <row r="25" spans="1:5" x14ac:dyDescent="0.2">
      <c r="A25" s="978" t="s">
        <v>35</v>
      </c>
      <c r="B25" s="1026" t="s">
        <v>851</v>
      </c>
      <c r="C25" s="1004" t="s">
        <v>849</v>
      </c>
      <c r="D25" s="1027">
        <v>25000</v>
      </c>
    </row>
    <row r="26" spans="1:5" x14ac:dyDescent="0.2">
      <c r="A26" s="978" t="s">
        <v>36</v>
      </c>
      <c r="B26" s="1026" t="s">
        <v>852</v>
      </c>
      <c r="C26" s="1004" t="s">
        <v>850</v>
      </c>
      <c r="D26" s="1232">
        <f>23595000+982150+378110</f>
        <v>24955260</v>
      </c>
    </row>
    <row r="27" spans="1:5" x14ac:dyDescent="0.2">
      <c r="A27" s="978" t="s">
        <v>37</v>
      </c>
      <c r="B27" s="1026" t="s">
        <v>1008</v>
      </c>
      <c r="C27" s="1004" t="s">
        <v>1009</v>
      </c>
      <c r="D27" s="1232">
        <v>3048000</v>
      </c>
    </row>
    <row r="28" spans="1:5" x14ac:dyDescent="0.2">
      <c r="A28" s="978" t="s">
        <v>38</v>
      </c>
      <c r="B28" s="1026" t="s">
        <v>854</v>
      </c>
      <c r="C28" s="1004" t="s">
        <v>853</v>
      </c>
      <c r="D28" s="1232">
        <f>3472000+115040-896760</f>
        <v>2690280</v>
      </c>
    </row>
    <row r="29" spans="1:5" x14ac:dyDescent="0.2">
      <c r="A29" s="978" t="s">
        <v>39</v>
      </c>
      <c r="B29" s="1026" t="s">
        <v>855</v>
      </c>
      <c r="C29" s="1004" t="s">
        <v>865</v>
      </c>
      <c r="D29" s="1027">
        <v>3000000</v>
      </c>
    </row>
    <row r="30" spans="1:5" x14ac:dyDescent="0.2">
      <c r="A30" s="978" t="s">
        <v>40</v>
      </c>
      <c r="B30" s="1009" t="s">
        <v>856</v>
      </c>
      <c r="C30" s="1004" t="s">
        <v>866</v>
      </c>
      <c r="D30" s="1027">
        <f>19541200+614152</f>
        <v>20155352</v>
      </c>
    </row>
    <row r="31" spans="1:5" x14ac:dyDescent="0.2">
      <c r="A31" s="978" t="s">
        <v>41</v>
      </c>
      <c r="B31" s="1009" t="s">
        <v>895</v>
      </c>
      <c r="C31" s="1004" t="s">
        <v>894</v>
      </c>
      <c r="D31" s="1027">
        <f>127487183-1227663+1536897</f>
        <v>127796417</v>
      </c>
    </row>
    <row r="32" spans="1:5" ht="16.5" thickBot="1" x14ac:dyDescent="0.25">
      <c r="A32" s="993" t="s">
        <v>42</v>
      </c>
      <c r="B32" s="1022" t="s">
        <v>898</v>
      </c>
      <c r="C32" s="1016" t="s">
        <v>899</v>
      </c>
      <c r="D32" s="1030">
        <v>15950697</v>
      </c>
    </row>
    <row r="33" spans="1:5" ht="32.25" thickBot="1" x14ac:dyDescent="0.25">
      <c r="A33" s="982" t="s">
        <v>43</v>
      </c>
      <c r="B33" s="997" t="s">
        <v>1011</v>
      </c>
      <c r="C33" s="973" t="s">
        <v>1012</v>
      </c>
      <c r="D33" s="983">
        <f>SUM(D22:D32)</f>
        <v>232897867</v>
      </c>
    </row>
    <row r="34" spans="1:5" x14ac:dyDescent="0.2">
      <c r="A34" s="980" t="s">
        <v>779</v>
      </c>
      <c r="B34" s="1010" t="s">
        <v>860</v>
      </c>
      <c r="C34" s="1011" t="s">
        <v>857</v>
      </c>
      <c r="D34" s="984">
        <v>35700000</v>
      </c>
    </row>
    <row r="35" spans="1:5" ht="31.5" x14ac:dyDescent="0.2">
      <c r="A35" s="981" t="s">
        <v>874</v>
      </c>
      <c r="B35" s="1010" t="s">
        <v>861</v>
      </c>
      <c r="C35" s="1011" t="s">
        <v>858</v>
      </c>
      <c r="D35" s="985">
        <v>33654000</v>
      </c>
    </row>
    <row r="36" spans="1:5" ht="16.5" thickBot="1" x14ac:dyDescent="0.25">
      <c r="A36" s="981" t="s">
        <v>875</v>
      </c>
      <c r="B36" s="1012" t="s">
        <v>862</v>
      </c>
      <c r="C36" s="1013" t="s">
        <v>859</v>
      </c>
      <c r="D36" s="1369">
        <f>9248000-1840000</f>
        <v>7408000</v>
      </c>
    </row>
    <row r="37" spans="1:5" ht="16.5" thickBot="1" x14ac:dyDescent="0.25">
      <c r="A37" s="982" t="s">
        <v>876</v>
      </c>
      <c r="B37" s="997" t="s">
        <v>863</v>
      </c>
      <c r="C37" s="1014" t="s">
        <v>864</v>
      </c>
      <c r="D37" s="983">
        <f>SUM(D34:D36)</f>
        <v>76762000</v>
      </c>
      <c r="E37" s="255"/>
    </row>
    <row r="38" spans="1:5" x14ac:dyDescent="0.2">
      <c r="A38" s="977" t="s">
        <v>883</v>
      </c>
      <c r="B38" s="994" t="s">
        <v>867</v>
      </c>
      <c r="C38" s="1015" t="s">
        <v>871</v>
      </c>
      <c r="D38" s="1370">
        <f>148191400+7278600-4442000</f>
        <v>151028000</v>
      </c>
    </row>
    <row r="39" spans="1:5" ht="16.5" thickBot="1" x14ac:dyDescent="0.25">
      <c r="A39" s="986" t="s">
        <v>884</v>
      </c>
      <c r="B39" s="998" t="s">
        <v>868</v>
      </c>
      <c r="C39" s="1016" t="s">
        <v>870</v>
      </c>
      <c r="D39" s="1371">
        <f>53927000+208000</f>
        <v>54135000</v>
      </c>
    </row>
    <row r="40" spans="1:5" ht="30" customHeight="1" thickBot="1" x14ac:dyDescent="0.25">
      <c r="A40" s="987" t="s">
        <v>885</v>
      </c>
      <c r="B40" s="999" t="s">
        <v>869</v>
      </c>
      <c r="C40" s="1017" t="s">
        <v>873</v>
      </c>
      <c r="D40" s="1029">
        <f>SUM(D38:D39)</f>
        <v>205163000</v>
      </c>
    </row>
    <row r="41" spans="1:5" ht="32.25" thickBot="1" x14ac:dyDescent="0.25">
      <c r="A41" s="979" t="s">
        <v>886</v>
      </c>
      <c r="B41" s="996" t="s">
        <v>872</v>
      </c>
      <c r="C41" s="988" t="s">
        <v>1013</v>
      </c>
      <c r="D41" s="989">
        <f>D21+D33+D37+D40</f>
        <v>642804986</v>
      </c>
    </row>
    <row r="42" spans="1:5" x14ac:dyDescent="0.2">
      <c r="A42" s="980" t="s">
        <v>888</v>
      </c>
      <c r="B42" s="1021" t="s">
        <v>877</v>
      </c>
      <c r="C42" s="990" t="s">
        <v>882</v>
      </c>
      <c r="D42" s="991">
        <f>58710960+1334340</f>
        <v>60045300</v>
      </c>
    </row>
    <row r="43" spans="1:5" x14ac:dyDescent="0.2">
      <c r="A43" s="978" t="s">
        <v>889</v>
      </c>
      <c r="B43" s="1010" t="s">
        <v>878</v>
      </c>
      <c r="C43" s="1011" t="s">
        <v>881</v>
      </c>
      <c r="D43" s="1232">
        <f>18746144+75851737</f>
        <v>94597881</v>
      </c>
    </row>
    <row r="44" spans="1:5" ht="16.5" thickBot="1" x14ac:dyDescent="0.25">
      <c r="A44" s="981" t="s">
        <v>891</v>
      </c>
      <c r="B44" s="1018" t="s">
        <v>879</v>
      </c>
      <c r="C44" s="1013" t="s">
        <v>880</v>
      </c>
      <c r="D44" s="1372">
        <f>48801690-47196</f>
        <v>48754494</v>
      </c>
    </row>
    <row r="45" spans="1:5" ht="32.25" thickBot="1" x14ac:dyDescent="0.25">
      <c r="A45" s="979" t="s">
        <v>902</v>
      </c>
      <c r="B45" s="996" t="s">
        <v>89</v>
      </c>
      <c r="C45" s="1019" t="s">
        <v>1014</v>
      </c>
      <c r="D45" s="989">
        <f>SUM(D42:D44)</f>
        <v>203397675</v>
      </c>
    </row>
    <row r="46" spans="1:5" ht="31.5" x14ac:dyDescent="0.2">
      <c r="A46" s="977" t="s">
        <v>903</v>
      </c>
      <c r="B46" s="994" t="s">
        <v>887</v>
      </c>
      <c r="C46" s="1023" t="s">
        <v>890</v>
      </c>
      <c r="D46" s="1248">
        <f>28288120+469296</f>
        <v>28757416</v>
      </c>
    </row>
    <row r="47" spans="1:5" x14ac:dyDescent="0.2">
      <c r="A47" s="978" t="s">
        <v>1016</v>
      </c>
      <c r="B47" s="1233" t="s">
        <v>896</v>
      </c>
      <c r="C47" s="1234" t="s">
        <v>897</v>
      </c>
      <c r="D47" s="1235">
        <v>12600000</v>
      </c>
    </row>
    <row r="48" spans="1:5" ht="16.5" thickBot="1" x14ac:dyDescent="0.25">
      <c r="A48" s="986" t="s">
        <v>904</v>
      </c>
      <c r="B48" s="998" t="s">
        <v>984</v>
      </c>
      <c r="C48" s="1236" t="s">
        <v>985</v>
      </c>
      <c r="D48" s="1028">
        <v>951000</v>
      </c>
    </row>
    <row r="49" spans="1:6" ht="32.25" thickBot="1" x14ac:dyDescent="0.25">
      <c r="A49" s="979" t="s">
        <v>905</v>
      </c>
      <c r="B49" s="996" t="s">
        <v>112</v>
      </c>
      <c r="C49" s="1019" t="s">
        <v>1015</v>
      </c>
      <c r="D49" s="989">
        <f>SUM(D46:D48)</f>
        <v>42308416</v>
      </c>
    </row>
    <row r="50" spans="1:6" ht="20.25" customHeight="1" thickBot="1" x14ac:dyDescent="0.25">
      <c r="A50" s="979" t="s">
        <v>983</v>
      </c>
      <c r="B50" s="996" t="s">
        <v>892</v>
      </c>
      <c r="C50" s="1024" t="s">
        <v>893</v>
      </c>
      <c r="D50" s="989">
        <v>-24566831</v>
      </c>
    </row>
    <row r="51" spans="1:6" ht="16.5" thickBot="1" x14ac:dyDescent="0.25">
      <c r="A51" s="979" t="s">
        <v>1010</v>
      </c>
      <c r="B51" s="1541" t="s">
        <v>1063</v>
      </c>
      <c r="C51" s="1542"/>
      <c r="D51" s="1031">
        <f>D14+D20+D41+D45+D49+D50</f>
        <v>1423877053</v>
      </c>
      <c r="F51" s="600"/>
    </row>
    <row r="53" spans="1:6" x14ac:dyDescent="0.25">
      <c r="B53" s="1006"/>
      <c r="C53" s="1005"/>
    </row>
    <row r="54" spans="1:6" x14ac:dyDescent="0.25">
      <c r="B54" s="1006"/>
      <c r="C54" s="1005"/>
    </row>
    <row r="55" spans="1:6" x14ac:dyDescent="0.25">
      <c r="B55" s="1007"/>
      <c r="C55" s="1008"/>
    </row>
    <row r="56" spans="1:6" x14ac:dyDescent="0.25">
      <c r="B56" s="1006"/>
      <c r="C56" s="1005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29"/>
  <sheetViews>
    <sheetView topLeftCell="A40" zoomScale="130" zoomScaleNormal="130" zoomScaleSheetLayoutView="130" workbookViewId="0">
      <selection activeCell="F6" sqref="F6"/>
    </sheetView>
  </sheetViews>
  <sheetFormatPr defaultRowHeight="12.75" x14ac:dyDescent="0.2"/>
  <cols>
    <col min="1" max="1" width="6.6640625" style="768" customWidth="1"/>
    <col min="2" max="2" width="43.33203125" style="768" customWidth="1"/>
    <col min="3" max="3" width="31.1640625" style="768" customWidth="1"/>
    <col min="4" max="4" width="17.5" style="794" bestFit="1" customWidth="1"/>
    <col min="5" max="16384" width="9.33203125" style="768"/>
  </cols>
  <sheetData>
    <row r="1" spans="1:6" x14ac:dyDescent="0.2">
      <c r="A1" s="1545" t="str">
        <f>CONCATENATE("35. melléklet ",ALAPADATOK!A7," ",ALAPADATOK!B7," ",ALAPADATOK!C7," ",ALAPADATOK!D7," ",ALAPADATOK!E7," ",ALAPADATOK!F7," ",ALAPADATOK!G7," ",ALAPADATOK!H7)</f>
        <v>35. melléklet a 15 / 2021. ( IX.30. ) önkormányzati rendelethez</v>
      </c>
      <c r="B1" s="1545"/>
      <c r="C1" s="1545"/>
      <c r="D1" s="1545"/>
    </row>
    <row r="2" spans="1:6" x14ac:dyDescent="0.2">
      <c r="D2" s="951" t="s">
        <v>782</v>
      </c>
    </row>
    <row r="3" spans="1:6" ht="45" customHeight="1" x14ac:dyDescent="0.25">
      <c r="A3" s="1546" t="s">
        <v>961</v>
      </c>
      <c r="B3" s="1546"/>
      <c r="C3" s="1546"/>
      <c r="D3" s="1546"/>
    </row>
    <row r="4" spans="1:6" ht="17.25" customHeight="1" x14ac:dyDescent="0.25">
      <c r="A4" s="878"/>
      <c r="B4" s="878"/>
      <c r="C4" s="878"/>
      <c r="D4" s="601"/>
    </row>
    <row r="5" spans="1:6" ht="13.5" thickBot="1" x14ac:dyDescent="0.25">
      <c r="A5" s="75"/>
      <c r="B5" s="75"/>
      <c r="C5" s="1547"/>
      <c r="D5" s="1547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99" t="s">
        <v>1083</v>
      </c>
    </row>
    <row r="7" spans="1:6" ht="15.95" customHeight="1" x14ac:dyDescent="0.2">
      <c r="A7" s="1373" t="s">
        <v>16</v>
      </c>
      <c r="B7" s="1374" t="s">
        <v>371</v>
      </c>
      <c r="C7" s="1375" t="s">
        <v>372</v>
      </c>
      <c r="D7" s="1376">
        <v>6000000</v>
      </c>
      <c r="E7" s="827"/>
      <c r="F7" s="827"/>
    </row>
    <row r="8" spans="1:6" ht="15.95" customHeight="1" x14ac:dyDescent="0.2">
      <c r="A8" s="602" t="s">
        <v>17</v>
      </c>
      <c r="B8" s="782" t="s">
        <v>373</v>
      </c>
      <c r="C8" s="24" t="s">
        <v>372</v>
      </c>
      <c r="D8" s="1253">
        <v>2500000</v>
      </c>
      <c r="E8" s="827"/>
      <c r="F8" s="827"/>
    </row>
    <row r="9" spans="1:6" ht="15.95" customHeight="1" x14ac:dyDescent="0.2">
      <c r="A9" s="602" t="s">
        <v>18</v>
      </c>
      <c r="B9" s="782" t="s">
        <v>374</v>
      </c>
      <c r="C9" s="24" t="s">
        <v>372</v>
      </c>
      <c r="D9" s="1253">
        <v>1000000</v>
      </c>
      <c r="E9" s="827"/>
      <c r="F9" s="827"/>
    </row>
    <row r="10" spans="1:6" ht="15.95" customHeight="1" x14ac:dyDescent="0.2">
      <c r="A10" s="602" t="s">
        <v>19</v>
      </c>
      <c r="B10" s="782" t="s">
        <v>375</v>
      </c>
      <c r="C10" s="770" t="s">
        <v>372</v>
      </c>
      <c r="D10" s="1253">
        <v>10250000</v>
      </c>
      <c r="E10" s="827"/>
      <c r="F10" s="827"/>
    </row>
    <row r="11" spans="1:6" ht="15.95" customHeight="1" x14ac:dyDescent="0.2">
      <c r="A11" s="602" t="s">
        <v>20</v>
      </c>
      <c r="B11" s="782" t="s">
        <v>376</v>
      </c>
      <c r="C11" s="239" t="s">
        <v>372</v>
      </c>
      <c r="D11" s="1253">
        <v>300000</v>
      </c>
      <c r="E11" s="827"/>
      <c r="F11" s="827"/>
    </row>
    <row r="12" spans="1:6" ht="15.95" customHeight="1" x14ac:dyDescent="0.2">
      <c r="A12" s="602" t="s">
        <v>21</v>
      </c>
      <c r="B12" s="782" t="s">
        <v>377</v>
      </c>
      <c r="C12" s="770" t="s">
        <v>372</v>
      </c>
      <c r="D12" s="1253">
        <v>1000000</v>
      </c>
      <c r="E12" s="827"/>
      <c r="F12" s="827"/>
    </row>
    <row r="13" spans="1:6" ht="15.95" customHeight="1" x14ac:dyDescent="0.2">
      <c r="A13" s="602" t="s">
        <v>22</v>
      </c>
      <c r="B13" s="782" t="s">
        <v>786</v>
      </c>
      <c r="C13" s="238" t="s">
        <v>372</v>
      </c>
      <c r="D13" s="1253">
        <v>1000000</v>
      </c>
      <c r="E13" s="827"/>
      <c r="F13" s="827"/>
    </row>
    <row r="14" spans="1:6" ht="15.95" customHeight="1" x14ac:dyDescent="0.2">
      <c r="A14" s="602" t="s">
        <v>23</v>
      </c>
      <c r="B14" s="782" t="s">
        <v>932</v>
      </c>
      <c r="C14" s="238" t="s">
        <v>372</v>
      </c>
      <c r="D14" s="1253">
        <v>636000</v>
      </c>
      <c r="E14" s="827"/>
      <c r="F14" s="827"/>
    </row>
    <row r="15" spans="1:6" ht="15.95" customHeight="1" x14ac:dyDescent="0.2">
      <c r="A15" s="602" t="s">
        <v>24</v>
      </c>
      <c r="B15" s="782" t="s">
        <v>931</v>
      </c>
      <c r="C15" s="770" t="s">
        <v>372</v>
      </c>
      <c r="D15" s="1253">
        <v>7746291</v>
      </c>
      <c r="E15" s="827"/>
      <c r="F15" s="827"/>
    </row>
    <row r="16" spans="1:6" ht="15.95" customHeight="1" x14ac:dyDescent="0.2">
      <c r="A16" s="602" t="s">
        <v>25</v>
      </c>
      <c r="B16" s="782" t="s">
        <v>930</v>
      </c>
      <c r="C16" s="770" t="s">
        <v>372</v>
      </c>
      <c r="D16" s="1253">
        <v>3417664</v>
      </c>
      <c r="E16" s="827"/>
      <c r="F16" s="827"/>
    </row>
    <row r="17" spans="1:6" ht="15.95" customHeight="1" x14ac:dyDescent="0.2">
      <c r="A17" s="602" t="s">
        <v>26</v>
      </c>
      <c r="B17" s="782" t="s">
        <v>743</v>
      </c>
      <c r="C17" s="770" t="s">
        <v>372</v>
      </c>
      <c r="D17" s="1253">
        <v>5327836</v>
      </c>
      <c r="E17" s="827"/>
      <c r="F17" s="827"/>
    </row>
    <row r="18" spans="1:6" ht="15.95" customHeight="1" x14ac:dyDescent="0.2">
      <c r="A18" s="602" t="s">
        <v>27</v>
      </c>
      <c r="B18" s="782" t="s">
        <v>744</v>
      </c>
      <c r="C18" s="770" t="s">
        <v>372</v>
      </c>
      <c r="D18" s="1253">
        <v>2953846</v>
      </c>
      <c r="E18" s="827"/>
      <c r="F18" s="827"/>
    </row>
    <row r="19" spans="1:6" ht="15.95" customHeight="1" x14ac:dyDescent="0.2">
      <c r="A19" s="602" t="s">
        <v>28</v>
      </c>
      <c r="B19" s="782" t="s">
        <v>931</v>
      </c>
      <c r="C19" s="770" t="s">
        <v>378</v>
      </c>
      <c r="D19" s="1253">
        <v>1883228</v>
      </c>
      <c r="E19" s="827"/>
      <c r="F19" s="827"/>
    </row>
    <row r="20" spans="1:6" ht="15.95" customHeight="1" x14ac:dyDescent="0.2">
      <c r="A20" s="602" t="s">
        <v>29</v>
      </c>
      <c r="B20" s="782" t="s">
        <v>930</v>
      </c>
      <c r="C20" s="770" t="s">
        <v>378</v>
      </c>
      <c r="D20" s="1253">
        <v>1216767</v>
      </c>
      <c r="E20" s="827"/>
      <c r="F20" s="827"/>
    </row>
    <row r="21" spans="1:6" ht="15.95" customHeight="1" x14ac:dyDescent="0.2">
      <c r="A21" s="602" t="s">
        <v>30</v>
      </c>
      <c r="B21" s="782" t="s">
        <v>743</v>
      </c>
      <c r="C21" s="770" t="s">
        <v>378</v>
      </c>
      <c r="D21" s="1253">
        <v>999592</v>
      </c>
      <c r="E21" s="827"/>
      <c r="F21" s="827"/>
    </row>
    <row r="22" spans="1:6" ht="15.95" customHeight="1" x14ac:dyDescent="0.2">
      <c r="A22" s="602" t="s">
        <v>31</v>
      </c>
      <c r="B22" s="782" t="s">
        <v>744</v>
      </c>
      <c r="C22" s="770" t="s">
        <v>378</v>
      </c>
      <c r="D22" s="1253">
        <f>2835398-1023179</f>
        <v>1812219</v>
      </c>
      <c r="E22" s="827"/>
      <c r="F22" s="827"/>
    </row>
    <row r="23" spans="1:6" ht="15.95" customHeight="1" x14ac:dyDescent="0.2">
      <c r="A23" s="602" t="s">
        <v>32</v>
      </c>
      <c r="B23" s="782" t="s">
        <v>497</v>
      </c>
      <c r="C23" s="770" t="s">
        <v>372</v>
      </c>
      <c r="D23" s="1253">
        <v>200000</v>
      </c>
    </row>
    <row r="24" spans="1:6" ht="15.95" customHeight="1" x14ac:dyDescent="0.2">
      <c r="A24" s="602" t="s">
        <v>33</v>
      </c>
      <c r="B24" s="782" t="s">
        <v>521</v>
      </c>
      <c r="C24" s="770" t="s">
        <v>372</v>
      </c>
      <c r="D24" s="1253">
        <f>84000000+27025595-4053420+10664415</f>
        <v>117636590</v>
      </c>
    </row>
    <row r="25" spans="1:6" ht="15.95" customHeight="1" x14ac:dyDescent="0.2">
      <c r="A25" s="602" t="s">
        <v>34</v>
      </c>
      <c r="B25" s="782" t="s">
        <v>523</v>
      </c>
      <c r="C25" s="770" t="s">
        <v>372</v>
      </c>
      <c r="D25" s="1253">
        <v>500000</v>
      </c>
    </row>
    <row r="26" spans="1:6" ht="15.95" customHeight="1" x14ac:dyDescent="0.2">
      <c r="A26" s="602" t="s">
        <v>35</v>
      </c>
      <c r="B26" s="782" t="s">
        <v>621</v>
      </c>
      <c r="C26" s="770" t="s">
        <v>372</v>
      </c>
      <c r="D26" s="1253">
        <v>46642000</v>
      </c>
    </row>
    <row r="27" spans="1:6" ht="15.95" customHeight="1" x14ac:dyDescent="0.2">
      <c r="A27" s="602" t="s">
        <v>36</v>
      </c>
      <c r="B27" s="931" t="s">
        <v>929</v>
      </c>
      <c r="C27" s="24" t="s">
        <v>372</v>
      </c>
      <c r="D27" s="1253">
        <v>754230</v>
      </c>
    </row>
    <row r="28" spans="1:6" ht="15.95" customHeight="1" thickBot="1" x14ac:dyDescent="0.25">
      <c r="A28" s="1377" t="s">
        <v>37</v>
      </c>
      <c r="B28" s="1378" t="s">
        <v>1019</v>
      </c>
      <c r="C28" s="1379" t="s">
        <v>372</v>
      </c>
      <c r="D28" s="1380">
        <v>690537</v>
      </c>
    </row>
    <row r="29" spans="1:6" ht="15.95" customHeight="1" thickBot="1" x14ac:dyDescent="0.25">
      <c r="A29" s="1377" t="s">
        <v>38</v>
      </c>
      <c r="B29" s="1548" t="s">
        <v>1064</v>
      </c>
      <c r="C29" s="1549"/>
      <c r="D29" s="1254">
        <f>SUM(D7:D28)</f>
        <v>214466800</v>
      </c>
    </row>
  </sheetData>
  <mergeCells count="4">
    <mergeCell ref="A1:D1"/>
    <mergeCell ref="A3:D3"/>
    <mergeCell ref="C5:D5"/>
    <mergeCell ref="B29:C29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4"/>
  <sheetViews>
    <sheetView zoomScaleNormal="100" zoomScaleSheetLayoutView="85" zoomScalePageLayoutView="85" workbookViewId="0">
      <selection activeCell="D10" sqref="D10"/>
    </sheetView>
  </sheetViews>
  <sheetFormatPr defaultColWidth="10.6640625" defaultRowHeight="12.75" x14ac:dyDescent="0.2"/>
  <cols>
    <col min="1" max="1" width="8.83203125" style="818" customWidth="1"/>
    <col min="2" max="2" width="42.33203125" style="818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3.6640625" style="303" bestFit="1" customWidth="1"/>
    <col min="7" max="7" width="13.83203125" style="303" bestFit="1" customWidth="1"/>
    <col min="8" max="8" width="15.5" style="616" bestFit="1" customWidth="1"/>
    <col min="9" max="9" width="13.6640625" style="818" bestFit="1" customWidth="1"/>
    <col min="10" max="10" width="15.1640625" style="818" bestFit="1" customWidth="1"/>
    <col min="11" max="11" width="15.33203125" style="818" bestFit="1" customWidth="1"/>
    <col min="12" max="12" width="13.6640625" style="818" bestFit="1" customWidth="1"/>
    <col min="13" max="13" width="12.5" style="818" bestFit="1" customWidth="1"/>
    <col min="14" max="14" width="15.6640625" style="304" bestFit="1" customWidth="1"/>
    <col min="15" max="15" width="15.1640625" style="818" customWidth="1"/>
    <col min="16" max="16384" width="10.6640625" style="818"/>
  </cols>
  <sheetData>
    <row r="1" spans="1:193" x14ac:dyDescent="0.2">
      <c r="A1" s="1571" t="str">
        <f>CONCATENATE("36. melléklet ",ALAPADATOK!A7," ",ALAPADATOK!B7," ",ALAPADATOK!C7," ",ALAPADATOK!D7," ",ALAPADATOK!E7," ",ALAPADATOK!F7," ",ALAPADATOK!G7," ",ALAPADATOK!H7)</f>
        <v>36. melléklet a 15 / 2021. ( IX.30. ) önkormányzati rendelethez</v>
      </c>
      <c r="B1" s="1571"/>
      <c r="C1" s="1571"/>
      <c r="D1" s="1571"/>
      <c r="E1" s="1571"/>
      <c r="F1" s="1571"/>
      <c r="G1" s="1571"/>
      <c r="H1" s="1571"/>
      <c r="I1" s="1571"/>
      <c r="J1" s="1571"/>
      <c r="K1" s="1571"/>
      <c r="L1" s="1571"/>
      <c r="M1" s="1571"/>
      <c r="N1" s="1571"/>
    </row>
    <row r="2" spans="1:193" ht="12.75" customHeight="1" x14ac:dyDescent="0.2">
      <c r="B2" s="305"/>
      <c r="F2" s="306"/>
      <c r="I2" s="305"/>
      <c r="J2" s="1572" t="s">
        <v>782</v>
      </c>
      <c r="K2" s="1572"/>
      <c r="L2" s="1572"/>
      <c r="M2" s="1572"/>
      <c r="N2" s="1572"/>
    </row>
    <row r="3" spans="1:193" ht="17.25" customHeight="1" x14ac:dyDescent="0.35">
      <c r="A3" s="1573" t="s">
        <v>933</v>
      </c>
      <c r="B3" s="1573"/>
      <c r="C3" s="1573"/>
      <c r="D3" s="1573"/>
      <c r="E3" s="1573"/>
      <c r="F3" s="1573"/>
      <c r="G3" s="1573"/>
      <c r="H3" s="1573"/>
      <c r="I3" s="1573"/>
      <c r="J3" s="1573"/>
      <c r="K3" s="1573"/>
      <c r="L3" s="1573"/>
      <c r="M3" s="1573"/>
      <c r="N3" s="1573"/>
      <c r="O3" s="820"/>
    </row>
    <row r="4" spans="1:193" ht="19.5" x14ac:dyDescent="0.35">
      <c r="A4" s="1574" t="s">
        <v>379</v>
      </c>
      <c r="B4" s="1574"/>
      <c r="C4" s="1574"/>
      <c r="D4" s="1574"/>
      <c r="E4" s="1574"/>
      <c r="F4" s="1574"/>
      <c r="G4" s="1574"/>
      <c r="H4" s="1574"/>
      <c r="I4" s="1574"/>
      <c r="J4" s="1574"/>
      <c r="K4" s="1574"/>
      <c r="L4" s="1574"/>
      <c r="M4" s="1574"/>
      <c r="N4" s="1574"/>
      <c r="O4" s="820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20"/>
    </row>
    <row r="6" spans="1:193" ht="15.75" customHeight="1" x14ac:dyDescent="0.25">
      <c r="A6" s="1578" t="s">
        <v>622</v>
      </c>
      <c r="B6" s="1580" t="s">
        <v>152</v>
      </c>
      <c r="C6" s="1575" t="s">
        <v>380</v>
      </c>
      <c r="D6" s="1576"/>
      <c r="E6" s="1576"/>
      <c r="F6" s="1576"/>
      <c r="G6" s="1576"/>
      <c r="H6" s="1577"/>
      <c r="I6" s="1575" t="s">
        <v>381</v>
      </c>
      <c r="J6" s="1576"/>
      <c r="K6" s="1576"/>
      <c r="L6" s="1576"/>
      <c r="M6" s="1576"/>
      <c r="N6" s="1577"/>
      <c r="O6" s="820"/>
    </row>
    <row r="7" spans="1:193" ht="27" customHeight="1" thickBot="1" x14ac:dyDescent="0.25">
      <c r="A7" s="1579"/>
      <c r="B7" s="1581"/>
      <c r="C7" s="1400" t="s">
        <v>353</v>
      </c>
      <c r="D7" s="1401" t="s">
        <v>9</v>
      </c>
      <c r="E7" s="1401" t="s">
        <v>126</v>
      </c>
      <c r="F7" s="1401" t="s">
        <v>1067</v>
      </c>
      <c r="G7" s="1401" t="s">
        <v>482</v>
      </c>
      <c r="H7" s="1402" t="s">
        <v>1065</v>
      </c>
      <c r="I7" s="1400" t="s">
        <v>1068</v>
      </c>
      <c r="J7" s="1401" t="s">
        <v>1049</v>
      </c>
      <c r="K7" s="1401" t="s">
        <v>1069</v>
      </c>
      <c r="L7" s="1401" t="s">
        <v>110</v>
      </c>
      <c r="M7" s="1401" t="s">
        <v>385</v>
      </c>
      <c r="N7" s="1403" t="s">
        <v>1066</v>
      </c>
      <c r="O7" s="820"/>
    </row>
    <row r="8" spans="1:193" ht="14.25" thickBot="1" x14ac:dyDescent="0.3">
      <c r="A8" s="1552" t="s">
        <v>623</v>
      </c>
      <c r="B8" s="1553"/>
      <c r="C8" s="1554"/>
      <c r="D8" s="1554"/>
      <c r="E8" s="1554"/>
      <c r="F8" s="1554"/>
      <c r="G8" s="1554"/>
      <c r="H8" s="1554"/>
      <c r="I8" s="1554"/>
      <c r="J8" s="1554"/>
      <c r="K8" s="1554"/>
      <c r="L8" s="1554"/>
      <c r="M8" s="1554"/>
      <c r="N8" s="1555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55">
        <v>127000</v>
      </c>
      <c r="D9" s="1256"/>
      <c r="E9" s="1256"/>
      <c r="F9" s="1256"/>
      <c r="G9" s="1256"/>
      <c r="H9" s="1257">
        <f t="shared" ref="H9:H15" si="0">SUM(C9:G9)</f>
        <v>127000</v>
      </c>
      <c r="I9" s="1258">
        <f>32781559+2787150-606000-84537</f>
        <v>34878172</v>
      </c>
      <c r="J9" s="1259">
        <v>2869994</v>
      </c>
      <c r="K9" s="1259"/>
      <c r="L9" s="1259"/>
      <c r="M9" s="1259"/>
      <c r="N9" s="1260">
        <f t="shared" ref="N9:N15" si="1">SUM(I9:M9)</f>
        <v>37748166</v>
      </c>
      <c r="O9" s="820"/>
    </row>
    <row r="10" spans="1:193" x14ac:dyDescent="0.2">
      <c r="A10" s="613" t="s">
        <v>625</v>
      </c>
      <c r="B10" s="614" t="s">
        <v>631</v>
      </c>
      <c r="C10" s="1261"/>
      <c r="D10" s="1262"/>
      <c r="E10" s="1262"/>
      <c r="F10" s="1262"/>
      <c r="G10" s="1262"/>
      <c r="H10" s="1260">
        <f t="shared" si="0"/>
        <v>0</v>
      </c>
      <c r="I10" s="1263">
        <v>500000</v>
      </c>
      <c r="J10" s="1262"/>
      <c r="K10" s="1262"/>
      <c r="L10" s="1262"/>
      <c r="M10" s="1262"/>
      <c r="N10" s="1260">
        <f t="shared" si="1"/>
        <v>500000</v>
      </c>
      <c r="O10" s="820"/>
    </row>
    <row r="11" spans="1:193" ht="25.5" x14ac:dyDescent="0.2">
      <c r="A11" s="613" t="s">
        <v>626</v>
      </c>
      <c r="B11" s="614" t="s">
        <v>632</v>
      </c>
      <c r="C11" s="1422">
        <f>30982865+3078700</f>
        <v>34061565</v>
      </c>
      <c r="D11" s="1262">
        <f>63000000+1499571</f>
        <v>64499571</v>
      </c>
      <c r="E11" s="1262"/>
      <c r="F11" s="1262"/>
      <c r="G11" s="1262"/>
      <c r="H11" s="1264">
        <f t="shared" si="0"/>
        <v>98561136</v>
      </c>
      <c r="I11" s="1423">
        <f>31791596+3278940-3278940+170000+400000+71715</f>
        <v>32433311</v>
      </c>
      <c r="J11" s="1277">
        <f>7747000+254000+6000+697865</f>
        <v>8704865</v>
      </c>
      <c r="K11" s="1262"/>
      <c r="L11" s="1262"/>
      <c r="M11" s="1262"/>
      <c r="N11" s="1260">
        <f t="shared" si="1"/>
        <v>41138176</v>
      </c>
      <c r="O11" s="820"/>
    </row>
    <row r="12" spans="1:193" ht="25.5" x14ac:dyDescent="0.2">
      <c r="A12" s="613" t="s">
        <v>627</v>
      </c>
      <c r="B12" s="614" t="s">
        <v>387</v>
      </c>
      <c r="C12" s="1261"/>
      <c r="D12" s="1265"/>
      <c r="E12" s="1262"/>
      <c r="F12" s="1262"/>
      <c r="G12" s="1262"/>
      <c r="H12" s="1264">
        <f t="shared" si="0"/>
        <v>0</v>
      </c>
      <c r="I12" s="1263">
        <f>9921632+96499+300000</f>
        <v>10318131</v>
      </c>
      <c r="J12" s="1262"/>
      <c r="K12" s="1262"/>
      <c r="L12" s="1262"/>
      <c r="M12" s="1262"/>
      <c r="N12" s="1260">
        <f t="shared" si="1"/>
        <v>10318131</v>
      </c>
      <c r="O12" s="820"/>
    </row>
    <row r="13" spans="1:193" ht="25.5" x14ac:dyDescent="0.2">
      <c r="A13" s="613" t="s">
        <v>628</v>
      </c>
      <c r="B13" s="614" t="s">
        <v>633</v>
      </c>
      <c r="C13" s="1422">
        <f>1586619919+131199793+48966750-4715+107725-1227663+1466064+951000+1536897+651710+2664490-1840000-4234000+75851737-47196-60000000+50000000</f>
        <v>1832662511</v>
      </c>
      <c r="D13" s="1262">
        <f>1265000000+40000000</f>
        <v>1305000000</v>
      </c>
      <c r="E13" s="1262"/>
      <c r="F13" s="1266"/>
      <c r="G13" s="1266"/>
      <c r="H13" s="1264">
        <f t="shared" si="0"/>
        <v>3137662511</v>
      </c>
      <c r="I13" s="1263">
        <f>49106750+15636933+1466064</f>
        <v>66209747</v>
      </c>
      <c r="J13" s="1262"/>
      <c r="K13" s="1266"/>
      <c r="L13" s="1266"/>
      <c r="M13" s="1266"/>
      <c r="N13" s="1260">
        <f t="shared" si="1"/>
        <v>66209747</v>
      </c>
      <c r="O13" s="820"/>
    </row>
    <row r="14" spans="1:193" x14ac:dyDescent="0.2">
      <c r="A14" s="613" t="s">
        <v>934</v>
      </c>
      <c r="B14" s="614" t="s">
        <v>935</v>
      </c>
      <c r="C14" s="1261"/>
      <c r="D14" s="1267"/>
      <c r="E14" s="1262"/>
      <c r="F14" s="1262"/>
      <c r="G14" s="1262"/>
      <c r="H14" s="1264">
        <f t="shared" ref="H14" si="2">SUM(C14:G14)</f>
        <v>0</v>
      </c>
      <c r="I14" s="1268">
        <v>24566831</v>
      </c>
      <c r="J14" s="1269"/>
      <c r="K14" s="1269"/>
      <c r="L14" s="1269"/>
      <c r="M14" s="1269"/>
      <c r="N14" s="1260">
        <f t="shared" ref="N14" si="3">SUM(I14:M14)</f>
        <v>24566831</v>
      </c>
      <c r="O14" s="820"/>
    </row>
    <row r="15" spans="1:193" ht="13.5" thickBot="1" x14ac:dyDescent="0.25">
      <c r="A15" s="1138" t="s">
        <v>629</v>
      </c>
      <c r="B15" s="1139" t="s">
        <v>386</v>
      </c>
      <c r="C15" s="1270"/>
      <c r="D15" s="1271"/>
      <c r="E15" s="1271"/>
      <c r="F15" s="1271"/>
      <c r="G15" s="1271">
        <v>847491815</v>
      </c>
      <c r="H15" s="1272">
        <f t="shared" si="0"/>
        <v>847491815</v>
      </c>
      <c r="I15" s="1268">
        <v>636000</v>
      </c>
      <c r="J15" s="1269"/>
      <c r="K15" s="1269">
        <v>1572012055</v>
      </c>
      <c r="L15" s="1269"/>
      <c r="M15" s="1269"/>
      <c r="N15" s="1260">
        <f t="shared" si="1"/>
        <v>1572648055</v>
      </c>
      <c r="O15" s="820"/>
    </row>
    <row r="16" spans="1:193" s="820" customFormat="1" ht="14.25" thickBot="1" x14ac:dyDescent="0.3">
      <c r="A16" s="1556" t="s">
        <v>668</v>
      </c>
      <c r="B16" s="1557" t="s">
        <v>668</v>
      </c>
      <c r="C16" s="1553" t="s">
        <v>668</v>
      </c>
      <c r="D16" s="1553" t="s">
        <v>668</v>
      </c>
      <c r="E16" s="1553" t="s">
        <v>668</v>
      </c>
      <c r="F16" s="1553" t="s">
        <v>668</v>
      </c>
      <c r="G16" s="1553" t="s">
        <v>668</v>
      </c>
      <c r="H16" s="1553" t="s">
        <v>668</v>
      </c>
      <c r="I16" s="1553" t="s">
        <v>668</v>
      </c>
      <c r="J16" s="1553" t="s">
        <v>668</v>
      </c>
      <c r="K16" s="1553" t="s">
        <v>668</v>
      </c>
      <c r="L16" s="1553" t="s">
        <v>668</v>
      </c>
      <c r="M16" s="1553" t="s">
        <v>668</v>
      </c>
      <c r="N16" s="1558" t="s">
        <v>668</v>
      </c>
    </row>
    <row r="17" spans="1:15" s="820" customFormat="1" x14ac:dyDescent="0.2">
      <c r="A17" s="605" t="s">
        <v>669</v>
      </c>
      <c r="B17" s="606" t="s">
        <v>670</v>
      </c>
      <c r="C17" s="1255"/>
      <c r="D17" s="1256"/>
      <c r="E17" s="1256"/>
      <c r="F17" s="1256"/>
      <c r="G17" s="1256"/>
      <c r="H17" s="1257">
        <f t="shared" ref="H17:H24" si="4">SUM(C17:G17)</f>
        <v>0</v>
      </c>
      <c r="I17" s="1274">
        <v>37424697</v>
      </c>
      <c r="J17" s="1289">
        <f>5000000-3937008-1062992</f>
        <v>0</v>
      </c>
      <c r="K17" s="1256"/>
      <c r="L17" s="1256"/>
      <c r="M17" s="1256"/>
      <c r="N17" s="1257">
        <f t="shared" ref="N17:N24" si="5">SUM(I17:M17)</f>
        <v>37424697</v>
      </c>
    </row>
    <row r="18" spans="1:15" s="820" customFormat="1" ht="25.5" x14ac:dyDescent="0.2">
      <c r="A18" s="607" t="s">
        <v>671</v>
      </c>
      <c r="B18" s="608" t="s">
        <v>672</v>
      </c>
      <c r="C18" s="1261"/>
      <c r="D18" s="1262"/>
      <c r="E18" s="1262"/>
      <c r="F18" s="1262"/>
      <c r="G18" s="1262"/>
      <c r="H18" s="1264">
        <f t="shared" si="4"/>
        <v>0</v>
      </c>
      <c r="I18" s="1263">
        <v>47000</v>
      </c>
      <c r="J18" s="1262"/>
      <c r="K18" s="1262"/>
      <c r="L18" s="1262"/>
      <c r="M18" s="1262"/>
      <c r="N18" s="1264">
        <f t="shared" si="5"/>
        <v>47000</v>
      </c>
    </row>
    <row r="19" spans="1:15" s="820" customFormat="1" x14ac:dyDescent="0.2">
      <c r="A19" s="607" t="s">
        <v>1022</v>
      </c>
      <c r="B19" s="608" t="s">
        <v>1023</v>
      </c>
      <c r="C19" s="1261"/>
      <c r="D19" s="1262"/>
      <c r="E19" s="1262"/>
      <c r="F19" s="1262"/>
      <c r="G19" s="1262"/>
      <c r="H19" s="1264">
        <f t="shared" ref="H19" si="6">SUM(C19:G19)</f>
        <v>0</v>
      </c>
      <c r="I19" s="1423">
        <f>10311024-553313</f>
        <v>9757711</v>
      </c>
      <c r="J19" s="1277">
        <f>39476378+212598+553313</f>
        <v>40242289</v>
      </c>
      <c r="K19" s="1262"/>
      <c r="L19" s="1262"/>
      <c r="M19" s="1262"/>
      <c r="N19" s="1264">
        <f t="shared" ref="N19" si="7">SUM(I19:M19)</f>
        <v>50000000</v>
      </c>
    </row>
    <row r="20" spans="1:15" s="820" customFormat="1" x14ac:dyDescent="0.2">
      <c r="A20" s="607" t="s">
        <v>673</v>
      </c>
      <c r="B20" s="608" t="s">
        <v>674</v>
      </c>
      <c r="C20" s="1261"/>
      <c r="D20" s="1262"/>
      <c r="E20" s="1262"/>
      <c r="F20" s="1262"/>
      <c r="G20" s="1262"/>
      <c r="H20" s="1264">
        <f t="shared" si="4"/>
        <v>0</v>
      </c>
      <c r="I20" s="1263"/>
      <c r="J20" s="1262">
        <v>250000</v>
      </c>
      <c r="K20" s="1262"/>
      <c r="L20" s="1262"/>
      <c r="M20" s="1262"/>
      <c r="N20" s="1264">
        <f t="shared" si="5"/>
        <v>250000</v>
      </c>
    </row>
    <row r="21" spans="1:15" s="820" customFormat="1" ht="25.5" x14ac:dyDescent="0.2">
      <c r="A21" s="607" t="s">
        <v>675</v>
      </c>
      <c r="B21" s="608" t="s">
        <v>676</v>
      </c>
      <c r="C21" s="1261"/>
      <c r="D21" s="1262"/>
      <c r="E21" s="1262"/>
      <c r="F21" s="1262"/>
      <c r="G21" s="1262"/>
      <c r="H21" s="1264">
        <f t="shared" si="4"/>
        <v>0</v>
      </c>
      <c r="I21" s="1423">
        <f>5592279+15499217+260000+4195588+40000-536710</f>
        <v>25050374</v>
      </c>
      <c r="J21" s="1277">
        <f>46370421+586618264+158386931+536710</f>
        <v>791912326</v>
      </c>
      <c r="K21" s="1262"/>
      <c r="L21" s="1262"/>
      <c r="M21" s="1262"/>
      <c r="N21" s="1264">
        <f t="shared" si="5"/>
        <v>816962700</v>
      </c>
    </row>
    <row r="22" spans="1:15" s="820" customFormat="1" ht="25.5" x14ac:dyDescent="0.2">
      <c r="A22" s="870" t="s">
        <v>771</v>
      </c>
      <c r="B22" s="871" t="s">
        <v>772</v>
      </c>
      <c r="C22" s="1275"/>
      <c r="D22" s="1262"/>
      <c r="E22" s="1276"/>
      <c r="F22" s="1276"/>
      <c r="G22" s="1277"/>
      <c r="H22" s="1264">
        <f>SUM(C22:G22)</f>
        <v>0</v>
      </c>
      <c r="I22" s="1263">
        <v>337820</v>
      </c>
      <c r="J22" s="1262"/>
      <c r="K22" s="1277"/>
      <c r="L22" s="1277"/>
      <c r="M22" s="1277"/>
      <c r="N22" s="1264">
        <f t="shared" si="5"/>
        <v>337820</v>
      </c>
    </row>
    <row r="23" spans="1:15" s="820" customFormat="1" ht="25.5" x14ac:dyDescent="0.2">
      <c r="A23" s="607" t="s">
        <v>677</v>
      </c>
      <c r="B23" s="608" t="s">
        <v>678</v>
      </c>
      <c r="C23" s="1261">
        <f>25525800+1809000</f>
        <v>27334800</v>
      </c>
      <c r="D23" s="1262">
        <v>100000000</v>
      </c>
      <c r="E23" s="1262"/>
      <c r="F23" s="1262"/>
      <c r="G23" s="1262"/>
      <c r="H23" s="1264">
        <f t="shared" si="4"/>
        <v>127334800</v>
      </c>
      <c r="I23" s="1263">
        <v>28137400</v>
      </c>
      <c r="J23" s="1262">
        <f>97670000+1809000</f>
        <v>99479000</v>
      </c>
      <c r="K23" s="1262"/>
      <c r="L23" s="1262"/>
      <c r="M23" s="1262"/>
      <c r="N23" s="1264">
        <f t="shared" si="5"/>
        <v>127616400</v>
      </c>
    </row>
    <row r="24" spans="1:15" s="820" customFormat="1" ht="26.25" thickBot="1" x14ac:dyDescent="0.25">
      <c r="A24" s="609" t="s">
        <v>679</v>
      </c>
      <c r="B24" s="610" t="s">
        <v>680</v>
      </c>
      <c r="C24" s="1278"/>
      <c r="D24" s="1279">
        <v>3482179</v>
      </c>
      <c r="E24" s="1279"/>
      <c r="F24" s="1279"/>
      <c r="G24" s="1279"/>
      <c r="H24" s="1280">
        <f t="shared" si="4"/>
        <v>3482179</v>
      </c>
      <c r="I24" s="1425">
        <f>773900+3871338+260000+1056062+40000+2315913</f>
        <v>8317213</v>
      </c>
      <c r="J24" s="1285">
        <f>153782518+40990082-2315913</f>
        <v>192456687</v>
      </c>
      <c r="K24" s="1279"/>
      <c r="L24" s="1279"/>
      <c r="M24" s="1279"/>
      <c r="N24" s="1280">
        <f t="shared" si="5"/>
        <v>200773900</v>
      </c>
    </row>
    <row r="25" spans="1:15" ht="14.25" thickBot="1" x14ac:dyDescent="0.3">
      <c r="A25" s="1556" t="s">
        <v>634</v>
      </c>
      <c r="B25" s="1557"/>
      <c r="C25" s="1557"/>
      <c r="D25" s="1557"/>
      <c r="E25" s="1557"/>
      <c r="F25" s="1557"/>
      <c r="G25" s="1557"/>
      <c r="H25" s="1557"/>
      <c r="I25" s="1557"/>
      <c r="J25" s="1557"/>
      <c r="K25" s="1557"/>
      <c r="L25" s="1557"/>
      <c r="M25" s="1557"/>
      <c r="N25" s="1559"/>
      <c r="O25" s="820"/>
    </row>
    <row r="26" spans="1:15" ht="25.5" x14ac:dyDescent="0.2">
      <c r="A26" s="806" t="s">
        <v>635</v>
      </c>
      <c r="B26" s="807" t="s">
        <v>636</v>
      </c>
      <c r="C26" s="1256">
        <v>507601</v>
      </c>
      <c r="D26" s="1282"/>
      <c r="E26" s="1282"/>
      <c r="F26" s="1282"/>
      <c r="G26" s="1282"/>
      <c r="H26" s="1257">
        <f>SUM(C26:G26)</f>
        <v>507601</v>
      </c>
      <c r="I26" s="1274">
        <v>25486091</v>
      </c>
      <c r="J26" s="1282"/>
      <c r="K26" s="1282"/>
      <c r="L26" s="1282"/>
      <c r="M26" s="1282"/>
      <c r="N26" s="1257">
        <f>SUM(I26:M26)</f>
        <v>25486091</v>
      </c>
      <c r="O26" s="820"/>
    </row>
    <row r="27" spans="1:15" ht="25.5" x14ac:dyDescent="0.2">
      <c r="A27" s="808" t="s">
        <v>637</v>
      </c>
      <c r="B27" s="805" t="s">
        <v>390</v>
      </c>
      <c r="C27" s="1262"/>
      <c r="D27" s="1262"/>
      <c r="E27" s="1262"/>
      <c r="F27" s="1262"/>
      <c r="G27" s="1262"/>
      <c r="H27" s="1264">
        <f>SUM(C27:G27)</f>
        <v>0</v>
      </c>
      <c r="I27" s="1263">
        <v>835000</v>
      </c>
      <c r="J27" s="1266"/>
      <c r="K27" s="1266"/>
      <c r="L27" s="1266"/>
      <c r="M27" s="1266"/>
      <c r="N27" s="1264">
        <f>SUM(I27:M27)</f>
        <v>835000</v>
      </c>
      <c r="O27" s="820"/>
    </row>
    <row r="28" spans="1:15" ht="25.5" x14ac:dyDescent="0.2">
      <c r="A28" s="808" t="s">
        <v>638</v>
      </c>
      <c r="B28" s="805" t="s">
        <v>639</v>
      </c>
      <c r="C28" s="1262">
        <v>1000000</v>
      </c>
      <c r="D28" s="1266"/>
      <c r="E28" s="1277"/>
      <c r="F28" s="1266"/>
      <c r="G28" s="1266"/>
      <c r="H28" s="1264">
        <f>SUM(C28:G28)</f>
        <v>1000000</v>
      </c>
      <c r="I28" s="1283"/>
      <c r="J28" s="1262">
        <v>359410</v>
      </c>
      <c r="K28" s="1266"/>
      <c r="L28" s="1266"/>
      <c r="M28" s="1266"/>
      <c r="N28" s="1264">
        <f>SUM(I28:M28)</f>
        <v>359410</v>
      </c>
      <c r="O28" s="820"/>
    </row>
    <row r="29" spans="1:15" ht="26.25" thickBot="1" x14ac:dyDescent="0.25">
      <c r="A29" s="809" t="s">
        <v>756</v>
      </c>
      <c r="B29" s="810" t="s">
        <v>755</v>
      </c>
      <c r="C29" s="1279"/>
      <c r="D29" s="1284"/>
      <c r="E29" s="1285"/>
      <c r="F29" s="1284"/>
      <c r="G29" s="1284"/>
      <c r="H29" s="1264">
        <f>SUM(C29:G29)</f>
        <v>0</v>
      </c>
      <c r="I29" s="1281">
        <v>9423700</v>
      </c>
      <c r="J29" s="1279"/>
      <c r="K29" s="1284"/>
      <c r="L29" s="1284"/>
      <c r="M29" s="1284"/>
      <c r="N29" s="1264">
        <f>SUM(I29:M29)</f>
        <v>9423700</v>
      </c>
      <c r="O29" s="820"/>
    </row>
    <row r="30" spans="1:15" ht="14.25" thickBot="1" x14ac:dyDescent="0.3">
      <c r="A30" s="1560" t="s">
        <v>645</v>
      </c>
      <c r="B30" s="1561"/>
      <c r="C30" s="1562"/>
      <c r="D30" s="1562"/>
      <c r="E30" s="1562"/>
      <c r="F30" s="1562"/>
      <c r="G30" s="1562"/>
      <c r="H30" s="1562"/>
      <c r="I30" s="1562"/>
      <c r="J30" s="1562"/>
      <c r="K30" s="1562"/>
      <c r="L30" s="1562"/>
      <c r="M30" s="1562"/>
      <c r="N30" s="1563"/>
      <c r="O30" s="820"/>
    </row>
    <row r="31" spans="1:15" ht="25.5" x14ac:dyDescent="0.2">
      <c r="A31" s="806" t="s">
        <v>757</v>
      </c>
      <c r="B31" s="811" t="s">
        <v>758</v>
      </c>
      <c r="C31" s="1274">
        <v>17763750</v>
      </c>
      <c r="D31" s="1256">
        <v>21590900</v>
      </c>
      <c r="E31" s="1255"/>
      <c r="F31" s="1256"/>
      <c r="G31" s="1256"/>
      <c r="H31" s="1257">
        <f>SUM(C31:G31)</f>
        <v>39354650</v>
      </c>
      <c r="I31" s="1382">
        <f>49080136+80000+260000+21600+3706131+498268-63914+43799248+306000+160000+123800</f>
        <v>97971269</v>
      </c>
      <c r="J31" s="1289">
        <f>470243389+460000-99693863-42904652+101513834+188982+415960</f>
        <v>430223650</v>
      </c>
      <c r="K31" s="1256"/>
      <c r="L31" s="1256"/>
      <c r="M31" s="1256"/>
      <c r="N31" s="1257">
        <f>SUM(I31:M31)</f>
        <v>528194919</v>
      </c>
      <c r="O31" s="820"/>
    </row>
    <row r="32" spans="1:15" x14ac:dyDescent="0.2">
      <c r="A32" s="808" t="s">
        <v>640</v>
      </c>
      <c r="B32" s="812" t="s">
        <v>382</v>
      </c>
      <c r="C32" s="1258"/>
      <c r="D32" s="1259"/>
      <c r="E32" s="1286"/>
      <c r="F32" s="1259"/>
      <c r="G32" s="1259"/>
      <c r="H32" s="1260">
        <f>SUM(C32:G32)</f>
        <v>0</v>
      </c>
      <c r="I32" s="1258">
        <v>31945438</v>
      </c>
      <c r="J32" s="1259">
        <v>381000</v>
      </c>
      <c r="K32" s="1259"/>
      <c r="L32" s="1259"/>
      <c r="M32" s="1259"/>
      <c r="N32" s="1260">
        <f>SUM(I32:M32)</f>
        <v>32326438</v>
      </c>
      <c r="O32" s="820"/>
    </row>
    <row r="33" spans="1:15" x14ac:dyDescent="0.2">
      <c r="A33" s="808" t="s">
        <v>641</v>
      </c>
      <c r="B33" s="812" t="s">
        <v>642</v>
      </c>
      <c r="C33" s="1287"/>
      <c r="D33" s="1262"/>
      <c r="E33" s="1262"/>
      <c r="F33" s="1262"/>
      <c r="G33" s="1262"/>
      <c r="H33" s="1264">
        <f>SUM(C33:G33)</f>
        <v>0</v>
      </c>
      <c r="I33" s="1423">
        <f>12658308+2436985+44450</f>
        <v>15139743</v>
      </c>
      <c r="J33" s="1262">
        <v>1017270</v>
      </c>
      <c r="K33" s="1262"/>
      <c r="L33" s="1262"/>
      <c r="M33" s="1262"/>
      <c r="N33" s="1260">
        <f>SUM(I33:M33)</f>
        <v>16157013</v>
      </c>
      <c r="O33" s="820"/>
    </row>
    <row r="34" spans="1:15" ht="26.25" thickBot="1" x14ac:dyDescent="0.25">
      <c r="A34" s="809" t="s">
        <v>643</v>
      </c>
      <c r="B34" s="813" t="s">
        <v>644</v>
      </c>
      <c r="C34" s="1281">
        <f>5890000+4143150</f>
        <v>10033150</v>
      </c>
      <c r="D34" s="1279"/>
      <c r="E34" s="1279">
        <v>7000000</v>
      </c>
      <c r="F34" s="1279"/>
      <c r="G34" s="1279"/>
      <c r="H34" s="1280">
        <f>SUM(C34:G34)</f>
        <v>17033150</v>
      </c>
      <c r="I34" s="1425">
        <f>58668853+4143150+642188-44450</f>
        <v>63409741</v>
      </c>
      <c r="J34" s="1285">
        <f>29960380+4293870</f>
        <v>34254250</v>
      </c>
      <c r="K34" s="1279"/>
      <c r="L34" s="1279"/>
      <c r="M34" s="1279"/>
      <c r="N34" s="1272">
        <f>SUM(I34:M34)</f>
        <v>97663991</v>
      </c>
      <c r="O34" s="820"/>
    </row>
    <row r="35" spans="1:15" ht="15.75" thickBot="1" x14ac:dyDescent="0.3">
      <c r="A35" s="1564" t="s">
        <v>646</v>
      </c>
      <c r="B35" s="1565"/>
      <c r="C35" s="1565"/>
      <c r="D35" s="1565"/>
      <c r="E35" s="1565"/>
      <c r="F35" s="1565"/>
      <c r="G35" s="1565"/>
      <c r="H35" s="1565"/>
      <c r="I35" s="1565"/>
      <c r="J35" s="1565"/>
      <c r="K35" s="1565"/>
      <c r="L35" s="1565"/>
      <c r="M35" s="1565"/>
      <c r="N35" s="1566"/>
      <c r="O35" s="820"/>
    </row>
    <row r="36" spans="1:15" x14ac:dyDescent="0.2">
      <c r="A36" s="1136" t="s">
        <v>792</v>
      </c>
      <c r="B36" s="1137" t="s">
        <v>793</v>
      </c>
      <c r="C36" s="1255">
        <f>22269503+16000000+176300+47601</f>
        <v>38493404</v>
      </c>
      <c r="D36" s="1288"/>
      <c r="E36" s="1288"/>
      <c r="F36" s="1288"/>
      <c r="G36" s="1288"/>
      <c r="H36" s="1257">
        <f t="shared" ref="H36:H42" si="8">SUM(C36:G36)</f>
        <v>38493404</v>
      </c>
      <c r="I36" s="1424">
        <f>22304482+3871338+260000+1056062+39317017+40000+1500000+232500+176300+14267500+30000+47601+30000-920283+50800</f>
        <v>82263317</v>
      </c>
      <c r="J36" s="1289">
        <f>914000+153782518+1673065+196850+196850+106300+920283-50800</f>
        <v>157739066</v>
      </c>
      <c r="K36" s="1289"/>
      <c r="L36" s="1289"/>
      <c r="M36" s="1289"/>
      <c r="N36" s="1257">
        <f t="shared" ref="N36:N42" si="9">SUM(I36:M36)</f>
        <v>240002383</v>
      </c>
      <c r="O36" s="820"/>
    </row>
    <row r="37" spans="1:15" x14ac:dyDescent="0.2">
      <c r="A37" s="962" t="s">
        <v>773</v>
      </c>
      <c r="B37" s="963" t="s">
        <v>774</v>
      </c>
      <c r="C37" s="1286">
        <v>2244020</v>
      </c>
      <c r="D37" s="1290"/>
      <c r="E37" s="1290"/>
      <c r="F37" s="1290"/>
      <c r="G37" s="1290"/>
      <c r="H37" s="1260">
        <f t="shared" ref="H37" si="10">SUM(C37:G37)</f>
        <v>2244020</v>
      </c>
      <c r="I37" s="1291">
        <v>32313615</v>
      </c>
      <c r="J37" s="1259"/>
      <c r="K37" s="1292"/>
      <c r="L37" s="1292"/>
      <c r="M37" s="1292"/>
      <c r="N37" s="1260">
        <f t="shared" ref="N37" si="11">SUM(I37:M37)</f>
        <v>32313615</v>
      </c>
      <c r="O37" s="820"/>
    </row>
    <row r="38" spans="1:15" x14ac:dyDescent="0.2">
      <c r="A38" s="872" t="s">
        <v>647</v>
      </c>
      <c r="B38" s="873" t="s">
        <v>1</v>
      </c>
      <c r="C38" s="1261"/>
      <c r="D38" s="1261"/>
      <c r="E38" s="1261"/>
      <c r="F38" s="1261"/>
      <c r="G38" s="1261"/>
      <c r="H38" s="1264">
        <f>SUM(C38:G38)</f>
        <v>0</v>
      </c>
      <c r="I38" s="1293">
        <v>47177800</v>
      </c>
      <c r="J38" s="1262">
        <f>39476378+10523622</f>
        <v>50000000</v>
      </c>
      <c r="K38" s="1262"/>
      <c r="L38" s="1262"/>
      <c r="M38" s="1262"/>
      <c r="N38" s="1260">
        <f>SUM(I38:M38)</f>
        <v>97177800</v>
      </c>
      <c r="O38" s="820"/>
    </row>
    <row r="39" spans="1:15" x14ac:dyDescent="0.2">
      <c r="A39" s="872" t="s">
        <v>648</v>
      </c>
      <c r="B39" s="873" t="s">
        <v>3</v>
      </c>
      <c r="C39" s="1261"/>
      <c r="D39" s="1262"/>
      <c r="E39" s="1262"/>
      <c r="F39" s="1262"/>
      <c r="G39" s="1262"/>
      <c r="H39" s="1264">
        <f t="shared" si="8"/>
        <v>0</v>
      </c>
      <c r="I39" s="1263">
        <f>3600000+200000+260000+40000+10800</f>
        <v>4110800</v>
      </c>
      <c r="J39" s="1262"/>
      <c r="K39" s="1262"/>
      <c r="L39" s="1262"/>
      <c r="M39" s="1262"/>
      <c r="N39" s="1260">
        <f t="shared" si="9"/>
        <v>4110800</v>
      </c>
      <c r="O39" s="820"/>
    </row>
    <row r="40" spans="1:15" x14ac:dyDescent="0.2">
      <c r="A40" s="872" t="s">
        <v>760</v>
      </c>
      <c r="B40" s="873" t="s">
        <v>759</v>
      </c>
      <c r="C40" s="1261"/>
      <c r="D40" s="1262"/>
      <c r="E40" s="1262"/>
      <c r="F40" s="1262"/>
      <c r="G40" s="1262"/>
      <c r="H40" s="1264">
        <f>SUM(C40:G40)</f>
        <v>0</v>
      </c>
      <c r="I40" s="1263">
        <v>14315587</v>
      </c>
      <c r="J40" s="1262"/>
      <c r="K40" s="1262"/>
      <c r="L40" s="1262"/>
      <c r="M40" s="1262"/>
      <c r="N40" s="1260">
        <f>SUM(I40:M40)</f>
        <v>14315587</v>
      </c>
      <c r="O40" s="820"/>
    </row>
    <row r="41" spans="1:15" x14ac:dyDescent="0.2">
      <c r="A41" s="872" t="s">
        <v>775</v>
      </c>
      <c r="B41" s="873" t="s">
        <v>776</v>
      </c>
      <c r="C41" s="1261"/>
      <c r="D41" s="1277"/>
      <c r="E41" s="1277"/>
      <c r="F41" s="1277"/>
      <c r="G41" s="1277"/>
      <c r="H41" s="1264">
        <f>SUM(C41:G41)</f>
        <v>0</v>
      </c>
      <c r="I41" s="1263">
        <v>5969000</v>
      </c>
      <c r="J41" s="1262">
        <v>127000</v>
      </c>
      <c r="K41" s="1277"/>
      <c r="L41" s="1277"/>
      <c r="M41" s="1277"/>
      <c r="N41" s="1260">
        <f>SUM(I41:M41)</f>
        <v>6096000</v>
      </c>
      <c r="O41" s="820"/>
    </row>
    <row r="42" spans="1:15" ht="26.25" thickBot="1" x14ac:dyDescent="0.25">
      <c r="A42" s="825" t="s">
        <v>649</v>
      </c>
      <c r="B42" s="823" t="s">
        <v>650</v>
      </c>
      <c r="C42" s="1278">
        <v>400000</v>
      </c>
      <c r="D42" s="1279">
        <v>100000</v>
      </c>
      <c r="E42" s="1279"/>
      <c r="F42" s="1279"/>
      <c r="G42" s="1279"/>
      <c r="H42" s="1280">
        <f t="shared" si="8"/>
        <v>500000</v>
      </c>
      <c r="I42" s="1281">
        <v>633985</v>
      </c>
      <c r="J42" s="1279">
        <v>166015</v>
      </c>
      <c r="K42" s="1279"/>
      <c r="L42" s="1279"/>
      <c r="M42" s="1279"/>
      <c r="N42" s="1272">
        <f t="shared" si="9"/>
        <v>800000</v>
      </c>
      <c r="O42" s="820"/>
    </row>
    <row r="43" spans="1:15" ht="14.25" thickBot="1" x14ac:dyDescent="0.3">
      <c r="A43" s="1556" t="s">
        <v>651</v>
      </c>
      <c r="B43" s="1557"/>
      <c r="C43" s="1554"/>
      <c r="D43" s="1554"/>
      <c r="E43" s="1554"/>
      <c r="F43" s="1554"/>
      <c r="G43" s="1554"/>
      <c r="H43" s="1554"/>
      <c r="I43" s="1554"/>
      <c r="J43" s="1554"/>
      <c r="K43" s="1554"/>
      <c r="L43" s="1554"/>
      <c r="M43" s="1554"/>
      <c r="N43" s="1555"/>
      <c r="O43" s="820"/>
    </row>
    <row r="44" spans="1:15" ht="25.5" x14ac:dyDescent="0.2">
      <c r="A44" s="1191" t="s">
        <v>794</v>
      </c>
      <c r="B44" s="1192" t="s">
        <v>795</v>
      </c>
      <c r="C44" s="1294"/>
      <c r="D44" s="1295"/>
      <c r="E44" s="1295"/>
      <c r="F44" s="1295"/>
      <c r="G44" s="1295"/>
      <c r="H44" s="1296">
        <f t="shared" ref="H44:H49" si="12">SUM(C44:G44)</f>
        <v>0</v>
      </c>
      <c r="I44" s="1381">
        <f>6383081-957363+10664415</f>
        <v>16090133</v>
      </c>
      <c r="J44" s="1427">
        <f>2813609+4100000+1107000</f>
        <v>8020609</v>
      </c>
      <c r="K44" s="1295"/>
      <c r="L44" s="1295"/>
      <c r="M44" s="1295"/>
      <c r="N44" s="1296">
        <f t="shared" ref="N44:N49" si="13">SUM(I44:M44)</f>
        <v>24110742</v>
      </c>
      <c r="O44" s="820"/>
    </row>
    <row r="45" spans="1:15" x14ac:dyDescent="0.2">
      <c r="A45" s="872" t="s">
        <v>1020</v>
      </c>
      <c r="B45" s="873" t="s">
        <v>1021</v>
      </c>
      <c r="C45" s="1261">
        <v>7500000</v>
      </c>
      <c r="D45" s="1277"/>
      <c r="E45" s="1277"/>
      <c r="F45" s="1277"/>
      <c r="G45" s="1277"/>
      <c r="H45" s="1421">
        <f t="shared" si="12"/>
        <v>7500000</v>
      </c>
      <c r="I45" s="1263">
        <v>7507970</v>
      </c>
      <c r="J45" s="1262"/>
      <c r="K45" s="1262"/>
      <c r="L45" s="1262"/>
      <c r="M45" s="1262"/>
      <c r="N45" s="1421">
        <f t="shared" si="13"/>
        <v>7507970</v>
      </c>
      <c r="O45" s="820"/>
    </row>
    <row r="46" spans="1:15" ht="25.5" x14ac:dyDescent="0.2">
      <c r="A46" s="824" t="s">
        <v>973</v>
      </c>
      <c r="B46" s="614" t="s">
        <v>974</v>
      </c>
      <c r="C46" s="1422">
        <v>10000000</v>
      </c>
      <c r="D46" s="1262"/>
      <c r="E46" s="1262"/>
      <c r="F46" s="1262"/>
      <c r="G46" s="1262"/>
      <c r="H46" s="1264">
        <f t="shared" si="12"/>
        <v>10000000</v>
      </c>
      <c r="I46" s="1263">
        <f>2185107-327732</f>
        <v>1857375</v>
      </c>
      <c r="J46" s="1262"/>
      <c r="K46" s="1262"/>
      <c r="L46" s="1262"/>
      <c r="M46" s="1262"/>
      <c r="N46" s="1264">
        <f t="shared" si="13"/>
        <v>1857375</v>
      </c>
      <c r="O46" s="820"/>
    </row>
    <row r="47" spans="1:15" x14ac:dyDescent="0.2">
      <c r="A47" s="964" t="s">
        <v>652</v>
      </c>
      <c r="B47" s="965" t="s">
        <v>577</v>
      </c>
      <c r="C47" s="1297">
        <v>698500</v>
      </c>
      <c r="D47" s="1298"/>
      <c r="E47" s="1298"/>
      <c r="F47" s="1298"/>
      <c r="G47" s="1298"/>
      <c r="H47" s="1260">
        <f t="shared" si="12"/>
        <v>698500</v>
      </c>
      <c r="I47" s="1299">
        <v>6637128</v>
      </c>
      <c r="J47" s="1298"/>
      <c r="K47" s="1298"/>
      <c r="L47" s="1298"/>
      <c r="M47" s="1298"/>
      <c r="N47" s="1260">
        <f t="shared" si="13"/>
        <v>6637128</v>
      </c>
      <c r="O47" s="820"/>
    </row>
    <row r="48" spans="1:15" s="418" customFormat="1" x14ac:dyDescent="0.2">
      <c r="A48" s="824" t="s">
        <v>653</v>
      </c>
      <c r="B48" s="614" t="s">
        <v>383</v>
      </c>
      <c r="C48" s="1300">
        <v>411176</v>
      </c>
      <c r="D48" s="1301"/>
      <c r="E48" s="1301"/>
      <c r="F48" s="1301"/>
      <c r="G48" s="1301"/>
      <c r="H48" s="1264">
        <f t="shared" si="12"/>
        <v>411176</v>
      </c>
      <c r="I48" s="1268">
        <f>42449867+690537</f>
        <v>43140404</v>
      </c>
      <c r="J48" s="1269">
        <v>5911806</v>
      </c>
      <c r="K48" s="1269"/>
      <c r="L48" s="1269"/>
      <c r="M48" s="1269"/>
      <c r="N48" s="1260">
        <f t="shared" si="13"/>
        <v>49052210</v>
      </c>
    </row>
    <row r="49" spans="1:15" s="418" customFormat="1" ht="39" thickBot="1" x14ac:dyDescent="0.25">
      <c r="A49" s="825" t="s">
        <v>654</v>
      </c>
      <c r="B49" s="823" t="s">
        <v>655</v>
      </c>
      <c r="C49" s="1300">
        <v>30768216</v>
      </c>
      <c r="D49" s="1269">
        <v>806423</v>
      </c>
      <c r="E49" s="1301"/>
      <c r="F49" s="1301"/>
      <c r="G49" s="1301"/>
      <c r="H49" s="1302">
        <f t="shared" si="12"/>
        <v>31574639</v>
      </c>
      <c r="I49" s="1268">
        <v>52345692</v>
      </c>
      <c r="J49" s="1301">
        <f>1569049+1</f>
        <v>1569050</v>
      </c>
      <c r="K49" s="1269"/>
      <c r="L49" s="1269"/>
      <c r="M49" s="1269"/>
      <c r="N49" s="1260">
        <f t="shared" si="13"/>
        <v>53914742</v>
      </c>
    </row>
    <row r="50" spans="1:15" s="418" customFormat="1" ht="14.25" thickBot="1" x14ac:dyDescent="0.3">
      <c r="A50" s="1556" t="s">
        <v>783</v>
      </c>
      <c r="B50" s="1557"/>
      <c r="C50" s="1554"/>
      <c r="D50" s="1554"/>
      <c r="E50" s="1554"/>
      <c r="F50" s="1554"/>
      <c r="G50" s="1554"/>
      <c r="H50" s="1554"/>
      <c r="I50" s="1554"/>
      <c r="J50" s="1554"/>
      <c r="K50" s="1554"/>
      <c r="L50" s="1554"/>
      <c r="M50" s="1554"/>
      <c r="N50" s="1555"/>
    </row>
    <row r="51" spans="1:15" s="418" customFormat="1" ht="13.5" thickBot="1" x14ac:dyDescent="0.25">
      <c r="A51" s="615" t="s">
        <v>784</v>
      </c>
      <c r="B51" s="612" t="s">
        <v>785</v>
      </c>
      <c r="C51" s="1297"/>
      <c r="D51" s="1298"/>
      <c r="E51" s="1298"/>
      <c r="F51" s="1298"/>
      <c r="G51" s="1298"/>
      <c r="H51" s="1260">
        <f>SUM(C51:G51)</f>
        <v>0</v>
      </c>
      <c r="I51" s="1299">
        <f>2661800+2631637+1951101-394705+1062168+286785</f>
        <v>8198786</v>
      </c>
      <c r="J51" s="1428">
        <f>220802416+36786462+9805285-853131-849509+1523182+184458</f>
        <v>267399163</v>
      </c>
      <c r="K51" s="1298"/>
      <c r="L51" s="1298"/>
      <c r="M51" s="1298"/>
      <c r="N51" s="1260">
        <f>SUM(I51:M51)</f>
        <v>275597949</v>
      </c>
    </row>
    <row r="52" spans="1:15" ht="14.25" thickBot="1" x14ac:dyDescent="0.3">
      <c r="A52" s="1556" t="s">
        <v>656</v>
      </c>
      <c r="B52" s="1557"/>
      <c r="C52" s="1553"/>
      <c r="D52" s="1553"/>
      <c r="E52" s="1553"/>
      <c r="F52" s="1553"/>
      <c r="G52" s="1553"/>
      <c r="H52" s="1553"/>
      <c r="I52" s="1553"/>
      <c r="J52" s="1553"/>
      <c r="K52" s="1553"/>
      <c r="L52" s="1553"/>
      <c r="M52" s="1553"/>
      <c r="N52" s="1558"/>
      <c r="O52" s="820"/>
    </row>
    <row r="53" spans="1:15" ht="25.5" x14ac:dyDescent="0.2">
      <c r="A53" s="1195">
        <v>101211</v>
      </c>
      <c r="B53" s="1192" t="s">
        <v>975</v>
      </c>
      <c r="C53" s="1294"/>
      <c r="D53" s="1295"/>
      <c r="E53" s="1295"/>
      <c r="F53" s="1295"/>
      <c r="G53" s="1295"/>
      <c r="H53" s="1296">
        <f t="shared" ref="H53:H59" si="14">SUM(C53:G53)</f>
        <v>0</v>
      </c>
      <c r="I53" s="1256">
        <f>4079529-611866</f>
        <v>3467663</v>
      </c>
      <c r="J53" s="1256"/>
      <c r="K53" s="1256"/>
      <c r="L53" s="1256"/>
      <c r="M53" s="1256"/>
      <c r="N53" s="1257">
        <f t="shared" ref="N53:N61" si="15">SUM(I53:M53)</f>
        <v>3467663</v>
      </c>
      <c r="O53" s="820"/>
    </row>
    <row r="54" spans="1:15" ht="25.5" x14ac:dyDescent="0.2">
      <c r="A54" s="1196">
        <v>101222</v>
      </c>
      <c r="B54" s="614" t="s">
        <v>979</v>
      </c>
      <c r="C54" s="1261"/>
      <c r="D54" s="1262">
        <v>9000000</v>
      </c>
      <c r="E54" s="1262"/>
      <c r="F54" s="1262"/>
      <c r="G54" s="1262"/>
      <c r="H54" s="1264">
        <f t="shared" si="14"/>
        <v>9000000</v>
      </c>
      <c r="I54" s="1262"/>
      <c r="J54" s="1262">
        <v>9195000</v>
      </c>
      <c r="K54" s="1262"/>
      <c r="L54" s="1262"/>
      <c r="M54" s="1262"/>
      <c r="N54" s="1264">
        <f t="shared" ref="N54" si="16">SUM(I54:M54)</f>
        <v>9195000</v>
      </c>
      <c r="O54" s="820"/>
    </row>
    <row r="55" spans="1:15" x14ac:dyDescent="0.2">
      <c r="A55" s="1196">
        <v>102023</v>
      </c>
      <c r="B55" s="614" t="s">
        <v>976</v>
      </c>
      <c r="C55" s="1261"/>
      <c r="D55" s="1262"/>
      <c r="E55" s="1262"/>
      <c r="F55" s="1262"/>
      <c r="G55" s="1262"/>
      <c r="H55" s="1264">
        <f t="shared" si="14"/>
        <v>0</v>
      </c>
      <c r="I55" s="1262">
        <f>6563195-984378</f>
        <v>5578817</v>
      </c>
      <c r="J55" s="1262"/>
      <c r="K55" s="1262"/>
      <c r="L55" s="1262"/>
      <c r="M55" s="1262"/>
      <c r="N55" s="1264">
        <f t="shared" si="15"/>
        <v>5578817</v>
      </c>
      <c r="O55" s="820"/>
    </row>
    <row r="56" spans="1:15" x14ac:dyDescent="0.2">
      <c r="A56" s="1193">
        <v>102024</v>
      </c>
      <c r="B56" s="965" t="s">
        <v>977</v>
      </c>
      <c r="C56" s="1297"/>
      <c r="D56" s="1298"/>
      <c r="E56" s="1298"/>
      <c r="F56" s="1298"/>
      <c r="G56" s="1298"/>
      <c r="H56" s="1264">
        <f t="shared" si="14"/>
        <v>0</v>
      </c>
      <c r="I56" s="1262">
        <f>1419754-212941</f>
        <v>1206813</v>
      </c>
      <c r="J56" s="1262"/>
      <c r="K56" s="1262"/>
      <c r="L56" s="1262"/>
      <c r="M56" s="1262"/>
      <c r="N56" s="1264">
        <f t="shared" si="15"/>
        <v>1206813</v>
      </c>
      <c r="O56" s="820"/>
    </row>
    <row r="57" spans="1:15" x14ac:dyDescent="0.2">
      <c r="A57" s="1196" t="s">
        <v>657</v>
      </c>
      <c r="B57" s="614" t="s">
        <v>498</v>
      </c>
      <c r="C57" s="1300"/>
      <c r="D57" s="1301"/>
      <c r="E57" s="1301"/>
      <c r="F57" s="1301"/>
      <c r="G57" s="1301"/>
      <c r="H57" s="1264">
        <f t="shared" si="14"/>
        <v>0</v>
      </c>
      <c r="I57" s="1262">
        <v>300000</v>
      </c>
      <c r="J57" s="1262"/>
      <c r="K57" s="1262"/>
      <c r="L57" s="1262"/>
      <c r="M57" s="1262"/>
      <c r="N57" s="1264">
        <f t="shared" si="15"/>
        <v>300000</v>
      </c>
      <c r="O57" s="820"/>
    </row>
    <row r="58" spans="1:15" ht="25.5" x14ac:dyDescent="0.2">
      <c r="A58" s="1196">
        <v>104031</v>
      </c>
      <c r="B58" s="614" t="s">
        <v>978</v>
      </c>
      <c r="C58" s="1261"/>
      <c r="D58" s="1262"/>
      <c r="E58" s="1267"/>
      <c r="F58" s="1267"/>
      <c r="G58" s="1267"/>
      <c r="H58" s="1264">
        <f t="shared" si="14"/>
        <v>0</v>
      </c>
      <c r="I58" s="1262">
        <f>484352-72645</f>
        <v>411707</v>
      </c>
      <c r="J58" s="1262"/>
      <c r="K58" s="1262"/>
      <c r="L58" s="1262"/>
      <c r="M58" s="1262"/>
      <c r="N58" s="1264">
        <f t="shared" si="15"/>
        <v>411707</v>
      </c>
      <c r="O58" s="820"/>
    </row>
    <row r="59" spans="1:15" x14ac:dyDescent="0.2">
      <c r="A59" s="1197" t="s">
        <v>658</v>
      </c>
      <c r="B59" s="1194" t="s">
        <v>483</v>
      </c>
      <c r="C59" s="1297"/>
      <c r="D59" s="1298"/>
      <c r="E59" s="1298"/>
      <c r="F59" s="1298"/>
      <c r="G59" s="1298"/>
      <c r="H59" s="1264">
        <f t="shared" si="14"/>
        <v>0</v>
      </c>
      <c r="I59" s="1299">
        <v>54125165</v>
      </c>
      <c r="J59" s="1298"/>
      <c r="K59" s="1298"/>
      <c r="L59" s="1298"/>
      <c r="M59" s="1298"/>
      <c r="N59" s="1260">
        <f t="shared" si="15"/>
        <v>54125165</v>
      </c>
      <c r="O59" s="820"/>
    </row>
    <row r="60" spans="1:15" ht="25.5" x14ac:dyDescent="0.2">
      <c r="A60" s="824" t="s">
        <v>659</v>
      </c>
      <c r="B60" s="614" t="s">
        <v>660</v>
      </c>
      <c r="C60" s="1261">
        <v>2840000</v>
      </c>
      <c r="D60" s="1262"/>
      <c r="E60" s="1262"/>
      <c r="F60" s="1262"/>
      <c r="G60" s="1262"/>
      <c r="H60" s="1264">
        <f t="shared" ref="H60:H61" si="17">SUM(C60:G60)</f>
        <v>2840000</v>
      </c>
      <c r="I60" s="1268">
        <f>5211600</f>
        <v>5211600</v>
      </c>
      <c r="J60" s="1269">
        <f>5080000+540000</f>
        <v>5620000</v>
      </c>
      <c r="K60" s="1269"/>
      <c r="L60" s="1269"/>
      <c r="M60" s="1269"/>
      <c r="N60" s="1260">
        <f t="shared" si="15"/>
        <v>10831600</v>
      </c>
      <c r="O60" s="820"/>
    </row>
    <row r="61" spans="1:15" ht="26.25" thickBot="1" x14ac:dyDescent="0.25">
      <c r="A61" s="1198" t="s">
        <v>661</v>
      </c>
      <c r="B61" s="1139" t="s">
        <v>662</v>
      </c>
      <c r="C61" s="1270">
        <v>500000</v>
      </c>
      <c r="D61" s="1271"/>
      <c r="E61" s="1271"/>
      <c r="F61" s="1271"/>
      <c r="G61" s="1271"/>
      <c r="H61" s="1272">
        <f t="shared" si="17"/>
        <v>500000</v>
      </c>
      <c r="I61" s="1281">
        <v>56500000</v>
      </c>
      <c r="J61" s="1279"/>
      <c r="K61" s="1279"/>
      <c r="L61" s="1279"/>
      <c r="M61" s="1279"/>
      <c r="N61" s="1272">
        <f t="shared" si="15"/>
        <v>56500000</v>
      </c>
      <c r="O61" s="820"/>
    </row>
    <row r="62" spans="1:15" ht="14.25" thickBot="1" x14ac:dyDescent="0.3">
      <c r="A62" s="1556" t="s">
        <v>663</v>
      </c>
      <c r="B62" s="1557"/>
      <c r="C62" s="1567"/>
      <c r="D62" s="1567"/>
      <c r="E62" s="1567"/>
      <c r="F62" s="1567"/>
      <c r="G62" s="1567"/>
      <c r="H62" s="1567"/>
      <c r="I62" s="1567"/>
      <c r="J62" s="1567"/>
      <c r="K62" s="1567"/>
      <c r="L62" s="1567"/>
      <c r="M62" s="1567"/>
      <c r="N62" s="1568"/>
      <c r="O62" s="820"/>
    </row>
    <row r="63" spans="1:15" ht="25.5" x14ac:dyDescent="0.2">
      <c r="A63" s="615" t="s">
        <v>664</v>
      </c>
      <c r="B63" s="612" t="s">
        <v>665</v>
      </c>
      <c r="C63" s="1426">
        <f>50000000-50000000</f>
        <v>0</v>
      </c>
      <c r="D63" s="1298"/>
      <c r="E63" s="1298">
        <f>385080000+6520000</f>
        <v>391600000</v>
      </c>
      <c r="F63" s="1298"/>
      <c r="G63" s="1298"/>
      <c r="H63" s="1260">
        <f>SUM(C63:G63)</f>
        <v>391600000</v>
      </c>
      <c r="I63" s="1299"/>
      <c r="J63" s="1298"/>
      <c r="K63" s="1303"/>
      <c r="L63" s="1298"/>
      <c r="M63" s="1298"/>
      <c r="N63" s="1260">
        <f>SUM(I63:M63)</f>
        <v>0</v>
      </c>
      <c r="O63" s="820"/>
    </row>
    <row r="64" spans="1:15" ht="26.25" thickBot="1" x14ac:dyDescent="0.25">
      <c r="A64" s="825" t="s">
        <v>666</v>
      </c>
      <c r="B64" s="823" t="s">
        <v>667</v>
      </c>
      <c r="C64" s="1304"/>
      <c r="D64" s="1269"/>
      <c r="E64" s="1269"/>
      <c r="F64" s="1269">
        <f>861503705+7058824</f>
        <v>868562529</v>
      </c>
      <c r="G64" s="1269"/>
      <c r="H64" s="1264">
        <f>SUM(C64:G64)</f>
        <v>868562529</v>
      </c>
      <c r="I64" s="1268">
        <f>12910676+107725</f>
        <v>13018401</v>
      </c>
      <c r="J64" s="1273"/>
      <c r="K64" s="1269"/>
      <c r="L64" s="1269">
        <v>874993747</v>
      </c>
      <c r="M64" s="1269">
        <f>109320327+7058824-18622933-96499+951000+4053420-254000-250000-2149544-2206257+13433386-13770424-1099589</f>
        <v>96367711</v>
      </c>
      <c r="N64" s="1264">
        <f>SUM(I64:M64)</f>
        <v>984379859</v>
      </c>
      <c r="O64" s="820"/>
    </row>
    <row r="65" spans="1:15" ht="13.5" thickBot="1" x14ac:dyDescent="0.25">
      <c r="A65" s="1550" t="s">
        <v>49</v>
      </c>
      <c r="B65" s="1551"/>
      <c r="C65" s="1305">
        <f t="shared" ref="C65:H65" si="18">SUM(C9:C64)</f>
        <v>2017345693</v>
      </c>
      <c r="D65" s="1305">
        <f t="shared" si="18"/>
        <v>1504479073</v>
      </c>
      <c r="E65" s="1305">
        <f t="shared" si="18"/>
        <v>398600000</v>
      </c>
      <c r="F65" s="1305">
        <f t="shared" si="18"/>
        <v>868562529</v>
      </c>
      <c r="G65" s="1305">
        <f t="shared" si="18"/>
        <v>847491815</v>
      </c>
      <c r="H65" s="1306">
        <f t="shared" si="18"/>
        <v>5636479110</v>
      </c>
      <c r="I65" s="1305">
        <f t="shared" ref="I65:M65" si="19">SUM(I9:I64)</f>
        <v>985207147</v>
      </c>
      <c r="J65" s="1305">
        <f t="shared" si="19"/>
        <v>2107898450</v>
      </c>
      <c r="K65" s="1305">
        <f t="shared" si="19"/>
        <v>1572012055</v>
      </c>
      <c r="L65" s="1305">
        <f t="shared" si="19"/>
        <v>874993747</v>
      </c>
      <c r="M65" s="1305">
        <f t="shared" si="19"/>
        <v>96367711</v>
      </c>
      <c r="N65" s="1305">
        <f>SUM(N9:N64)</f>
        <v>5636479110</v>
      </c>
      <c r="O65" s="419">
        <f>N65-H65</f>
        <v>0</v>
      </c>
    </row>
    <row r="66" spans="1:15" ht="13.5" thickBot="1" x14ac:dyDescent="0.25">
      <c r="A66" s="1569" t="s">
        <v>384</v>
      </c>
      <c r="B66" s="1570"/>
      <c r="C66" s="1307"/>
      <c r="D66" s="1308"/>
      <c r="E66" s="1308"/>
      <c r="F66" s="1308"/>
      <c r="G66" s="1308"/>
      <c r="H66" s="1264"/>
      <c r="I66" s="1309"/>
      <c r="J66" s="1262"/>
      <c r="K66" s="1262">
        <f>SUM(K63:K64,K57:K61,K44:K49,K36:K42,K32:K34,K26:K28,K9:K15)</f>
        <v>1572012055</v>
      </c>
      <c r="L66" s="1308"/>
      <c r="M66" s="1308"/>
      <c r="N66" s="1310">
        <f>SUM(I66:M66)</f>
        <v>1572012055</v>
      </c>
      <c r="O66" s="419"/>
    </row>
    <row r="67" spans="1:15" ht="13.5" thickBot="1" x14ac:dyDescent="0.25">
      <c r="A67" s="1550" t="s">
        <v>60</v>
      </c>
      <c r="B67" s="1551"/>
      <c r="C67" s="1311">
        <f>C65-C66</f>
        <v>2017345693</v>
      </c>
      <c r="D67" s="1312">
        <f t="shared" ref="D67:M67" si="20">D65-D66</f>
        <v>1504479073</v>
      </c>
      <c r="E67" s="1312">
        <f t="shared" si="20"/>
        <v>398600000</v>
      </c>
      <c r="F67" s="1312">
        <f t="shared" si="20"/>
        <v>868562529</v>
      </c>
      <c r="G67" s="1312">
        <f t="shared" si="20"/>
        <v>847491815</v>
      </c>
      <c r="H67" s="1313">
        <f t="shared" si="20"/>
        <v>5636479110</v>
      </c>
      <c r="I67" s="1311">
        <f t="shared" si="20"/>
        <v>985207147</v>
      </c>
      <c r="J67" s="1312">
        <f t="shared" si="20"/>
        <v>2107898450</v>
      </c>
      <c r="K67" s="1312">
        <f t="shared" si="20"/>
        <v>0</v>
      </c>
      <c r="L67" s="1312">
        <f t="shared" si="20"/>
        <v>874993747</v>
      </c>
      <c r="M67" s="1312">
        <f t="shared" si="20"/>
        <v>96367711</v>
      </c>
      <c r="N67" s="1314">
        <f>N65-N66</f>
        <v>4064467055</v>
      </c>
      <c r="O67" s="419"/>
    </row>
    <row r="68" spans="1:15" x14ac:dyDescent="0.2">
      <c r="B68" s="312"/>
      <c r="C68" s="819">
        <f>C67-C69</f>
        <v>0</v>
      </c>
      <c r="D68" s="819">
        <f t="shared" ref="D68:M68" si="21">D67-D69</f>
        <v>0</v>
      </c>
      <c r="E68" s="819">
        <f t="shared" si="21"/>
        <v>0</v>
      </c>
      <c r="F68" s="819">
        <f t="shared" si="21"/>
        <v>0</v>
      </c>
      <c r="G68" s="819">
        <f t="shared" si="21"/>
        <v>0</v>
      </c>
      <c r="H68" s="819">
        <f t="shared" si="21"/>
        <v>0</v>
      </c>
      <c r="I68" s="819">
        <f t="shared" si="21"/>
        <v>0</v>
      </c>
      <c r="J68" s="819">
        <f t="shared" si="21"/>
        <v>0</v>
      </c>
      <c r="K68" s="819">
        <f>K66-K69</f>
        <v>0</v>
      </c>
      <c r="L68" s="819">
        <f t="shared" si="21"/>
        <v>0</v>
      </c>
      <c r="M68" s="819">
        <f t="shared" si="21"/>
        <v>0</v>
      </c>
      <c r="N68" s="819">
        <f>N65-N69</f>
        <v>0</v>
      </c>
    </row>
    <row r="69" spans="1:15" x14ac:dyDescent="0.2">
      <c r="B69" s="312"/>
      <c r="C69" s="819">
        <f>'9.1. sz. mell.'!C7+'9.1. sz. mell.'!C16+'9.1. sz. mell.'!C37+'9.1. sz. mell.'!C55+'9.1. sz. mell.'!C78</f>
        <v>2017345693</v>
      </c>
      <c r="D69" s="819">
        <f>'9.1. sz. mell.'!C23+'9.1. sz. mell.'!C49+'9.1. sz. mell.'!C60</f>
        <v>1504479073</v>
      </c>
      <c r="E69" s="819">
        <f>'9.1. sz. mell.'!C30</f>
        <v>398600000</v>
      </c>
      <c r="F69" s="819">
        <f>'9.1. sz. mell.'!C66</f>
        <v>868562529</v>
      </c>
      <c r="G69" s="819">
        <f>'9.1. sz. mell.'!C75</f>
        <v>847491815</v>
      </c>
      <c r="H69" s="618">
        <f>SUM(C69:G69)</f>
        <v>5636479110</v>
      </c>
      <c r="I69" s="819">
        <f>'9.1. sz. mell.'!C93-'9.1. sz. mell.'!C111+'9.1. sz. mell.'!C140</f>
        <v>985207147</v>
      </c>
      <c r="J69" s="819">
        <f>'9.1. sz. mell.'!C114</f>
        <v>2107898450</v>
      </c>
      <c r="K69" s="315">
        <f>'10.sz.m. int.összesítő'!C16</f>
        <v>1572012055</v>
      </c>
      <c r="L69" s="314">
        <f>'9.1. sz. mell.'!C129</f>
        <v>874993747</v>
      </c>
      <c r="M69" s="314">
        <f>'9.1. sz. mell.'!C111</f>
        <v>96367711</v>
      </c>
      <c r="N69" s="313">
        <f>SUM(I69:M69)</f>
        <v>5636479110</v>
      </c>
    </row>
    <row r="70" spans="1:15" x14ac:dyDescent="0.2">
      <c r="B70" s="312"/>
      <c r="C70" s="819"/>
      <c r="D70" s="819"/>
      <c r="E70" s="819"/>
      <c r="F70" s="819"/>
      <c r="G70" s="819"/>
      <c r="H70" s="618"/>
      <c r="I70" s="317"/>
      <c r="J70" s="819"/>
      <c r="K70" s="316"/>
      <c r="L70" s="819"/>
      <c r="M70" s="819"/>
      <c r="N70" s="313"/>
    </row>
    <row r="71" spans="1:15" x14ac:dyDescent="0.2">
      <c r="B71" s="312"/>
      <c r="C71" s="819"/>
      <c r="D71" s="819"/>
      <c r="E71" s="819"/>
      <c r="F71" s="819"/>
      <c r="G71" s="819"/>
      <c r="H71" s="618"/>
      <c r="I71" s="819"/>
      <c r="J71" s="819"/>
      <c r="K71" s="316"/>
      <c r="L71" s="819"/>
      <c r="M71" s="819"/>
      <c r="N71" s="313"/>
    </row>
    <row r="72" spans="1:15" x14ac:dyDescent="0.2">
      <c r="B72" s="312"/>
      <c r="C72" s="819"/>
      <c r="D72" s="819"/>
      <c r="E72" s="819"/>
      <c r="F72" s="819"/>
      <c r="G72" s="819"/>
      <c r="H72" s="618"/>
      <c r="I72" s="819"/>
      <c r="J72" s="819"/>
      <c r="K72" s="316"/>
      <c r="L72" s="819"/>
      <c r="M72" s="819"/>
      <c r="N72" s="313"/>
    </row>
    <row r="73" spans="1:15" x14ac:dyDescent="0.2">
      <c r="B73" s="312"/>
      <c r="C73" s="819"/>
      <c r="D73" s="819"/>
      <c r="E73" s="819"/>
      <c r="F73" s="819"/>
      <c r="G73" s="819"/>
      <c r="H73" s="618"/>
      <c r="I73" s="819"/>
      <c r="J73" s="819"/>
      <c r="K73" s="316"/>
      <c r="L73" s="819"/>
      <c r="M73" s="819"/>
      <c r="N73" s="313"/>
    </row>
    <row r="74" spans="1:15" x14ac:dyDescent="0.2">
      <c r="B74" s="312"/>
      <c r="C74" s="819"/>
      <c r="D74" s="819"/>
      <c r="E74" s="819"/>
      <c r="F74" s="819"/>
      <c r="G74" s="819"/>
      <c r="H74" s="618"/>
      <c r="I74" s="819"/>
      <c r="J74" s="819"/>
      <c r="K74" s="316"/>
      <c r="L74" s="819"/>
      <c r="M74" s="819"/>
      <c r="N74" s="313"/>
    </row>
  </sheetData>
  <mergeCells count="20">
    <mergeCell ref="A1:N1"/>
    <mergeCell ref="J2:N2"/>
    <mergeCell ref="A3:N3"/>
    <mergeCell ref="A4:N4"/>
    <mergeCell ref="C6:H6"/>
    <mergeCell ref="I6:N6"/>
    <mergeCell ref="A6:A7"/>
    <mergeCell ref="B6:B7"/>
    <mergeCell ref="A67:B67"/>
    <mergeCell ref="A8:N8"/>
    <mergeCell ref="A16:N16"/>
    <mergeCell ref="A25:N25"/>
    <mergeCell ref="A30:N30"/>
    <mergeCell ref="A35:N35"/>
    <mergeCell ref="A43:N43"/>
    <mergeCell ref="A52:N52"/>
    <mergeCell ref="A62:N62"/>
    <mergeCell ref="A65:B65"/>
    <mergeCell ref="A66:B66"/>
    <mergeCell ref="A50:N50"/>
  </mergeCells>
  <printOptions horizontalCentered="1"/>
  <pageMargins left="0.7" right="0.7" top="0.75" bottom="0.75" header="0.3" footer="0.3"/>
  <pageSetup paperSize="9" scale="38" orientation="landscape" r:id="rId1"/>
  <headerFooter alignWithMargins="0"/>
  <rowBreaks count="1" manualBreakCount="1">
    <brk id="34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zoomScaleNormal="100" workbookViewId="0">
      <selection activeCell="D15" sqref="D15"/>
    </sheetView>
  </sheetViews>
  <sheetFormatPr defaultRowHeight="15.75" x14ac:dyDescent="0.25"/>
  <cols>
    <col min="1" max="1" width="9" style="814" customWidth="1"/>
    <col min="2" max="2" width="66.33203125" style="814" bestFit="1" customWidth="1"/>
    <col min="3" max="3" width="15.5" style="815" hidden="1" customWidth="1"/>
    <col min="4" max="6" width="15.5" style="814" customWidth="1"/>
    <col min="7" max="16384" width="9.33203125" style="816"/>
  </cols>
  <sheetData>
    <row r="1" spans="1:6" x14ac:dyDescent="0.25">
      <c r="A1" s="1434" t="str">
        <f>CONCATENATE("8. tájékoztató tábla ",ALAPADATOK!A7," ",ALAPADATOK!B7," ",ALAPADATOK!C7," ",ALAPADATOK!D7," ",ALAPADATOK!E7," ",ALAPADATOK!F7," ",ALAPADATOK!G7," ",ALAPADATOK!H7)</f>
        <v>8. tájékoztató tábla a 15 / 2021. ( IX.30. ) önkormányzati rendelethez</v>
      </c>
      <c r="B1" s="1434"/>
      <c r="C1" s="1434"/>
      <c r="D1" s="1434"/>
      <c r="E1" s="1434"/>
      <c r="F1" s="1434"/>
    </row>
    <row r="3" spans="1:6" ht="35.25" customHeight="1" x14ac:dyDescent="0.25">
      <c r="A3" s="1582" t="s">
        <v>957</v>
      </c>
      <c r="B3" s="1582"/>
      <c r="C3" s="1582"/>
      <c r="D3" s="1582"/>
      <c r="E3" s="1582"/>
      <c r="F3" s="1582"/>
    </row>
    <row r="5" spans="1:6" ht="15.95" customHeight="1" x14ac:dyDescent="0.25">
      <c r="A5" s="1436" t="s">
        <v>13</v>
      </c>
      <c r="B5" s="1436"/>
      <c r="C5" s="1436"/>
      <c r="D5" s="1436"/>
      <c r="E5" s="1436"/>
      <c r="F5" s="816"/>
    </row>
    <row r="6" spans="1:6" ht="15.95" customHeight="1" thickBot="1" x14ac:dyDescent="0.3">
      <c r="A6" s="1435" t="s">
        <v>115</v>
      </c>
      <c r="B6" s="1435"/>
      <c r="D6" s="874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21">
        <v>400000000</v>
      </c>
      <c r="D25" s="821">
        <v>1800000000</v>
      </c>
      <c r="E25" s="821">
        <v>1800000000</v>
      </c>
      <c r="F25" s="821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36" t="s">
        <v>44</v>
      </c>
      <c r="B28" s="1436"/>
      <c r="C28" s="1436"/>
      <c r="D28" s="1436"/>
      <c r="E28" s="1436"/>
      <c r="H28" s="619"/>
      <c r="I28" s="619"/>
      <c r="J28" s="619"/>
      <c r="K28" s="619"/>
    </row>
    <row r="29" spans="1:11" s="183" customFormat="1" ht="12" customHeight="1" thickBot="1" x14ac:dyDescent="0.25">
      <c r="A29" s="1437" t="s">
        <v>116</v>
      </c>
      <c r="B29" s="1437"/>
      <c r="C29" s="815"/>
      <c r="D29" s="874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22">
        <v>155000000</v>
      </c>
      <c r="D38" s="822">
        <v>1000000000</v>
      </c>
      <c r="E38" s="822">
        <v>1100000000</v>
      </c>
      <c r="F38" s="822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14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14"/>
    </row>
    <row r="42" spans="1:7" x14ac:dyDescent="0.25">
      <c r="C42" s="814"/>
    </row>
    <row r="43" spans="1:7" ht="16.5" customHeight="1" x14ac:dyDescent="0.25">
      <c r="C43" s="814"/>
    </row>
    <row r="44" spans="1:7" x14ac:dyDescent="0.25">
      <c r="C44" s="814"/>
    </row>
    <row r="45" spans="1:7" x14ac:dyDescent="0.25">
      <c r="C45" s="814"/>
    </row>
    <row r="46" spans="1:7" s="814" customFormat="1" x14ac:dyDescent="0.25">
      <c r="G46" s="816"/>
    </row>
    <row r="47" spans="1:7" s="814" customFormat="1" x14ac:dyDescent="0.25">
      <c r="G47" s="816"/>
    </row>
    <row r="48" spans="1:7" s="814" customFormat="1" x14ac:dyDescent="0.25">
      <c r="G48" s="816"/>
    </row>
    <row r="49" spans="7:7" s="814" customFormat="1" x14ac:dyDescent="0.25">
      <c r="G49" s="816"/>
    </row>
    <row r="50" spans="7:7" s="814" customFormat="1" x14ac:dyDescent="0.25">
      <c r="G50" s="816"/>
    </row>
    <row r="51" spans="7:7" s="814" customFormat="1" x14ac:dyDescent="0.25">
      <c r="G51" s="816"/>
    </row>
    <row r="52" spans="7:7" s="814" customFormat="1" x14ac:dyDescent="0.25">
      <c r="G52" s="816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1" zoomScale="130" zoomScaleNormal="130" zoomScaleSheetLayoutView="100" workbookViewId="0">
      <selection activeCell="D7" sqref="D7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83" t="str">
        <f>CONCATENATE("31. melléklet ",ALAPADATOK!A7," ",ALAPADATOK!B7," ",ALAPADATOK!C7," ",ALAPADATOK!D7," ",ALAPADATOK!E7," ",ALAPADATOK!F7," ",ALAPADATOK!G7," ",ALAPADATOK!H7)</f>
        <v>31. melléklet a 15 / 2021. ( IX.30. ) önkormányzati rendelethez</v>
      </c>
      <c r="E1" s="1583"/>
      <c r="F1" s="298"/>
      <c r="G1" s="298"/>
    </row>
    <row r="2" spans="4:7" x14ac:dyDescent="0.2">
      <c r="D2" s="298"/>
      <c r="E2" s="1238"/>
      <c r="F2" s="1238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84" t="s">
        <v>592</v>
      </c>
      <c r="E4" s="1584"/>
      <c r="F4" s="299"/>
      <c r="G4" s="299"/>
    </row>
    <row r="5" spans="4:7" ht="19.5" x14ac:dyDescent="0.35">
      <c r="D5" s="1584"/>
      <c r="E5" s="1584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404" customFormat="1" ht="21.75" thickBot="1" x14ac:dyDescent="0.25">
      <c r="D9" s="1405" t="s">
        <v>2</v>
      </c>
      <c r="E9" s="1406" t="s">
        <v>692</v>
      </c>
    </row>
    <row r="10" spans="4:7" x14ac:dyDescent="0.2">
      <c r="D10" s="1383" t="s">
        <v>989</v>
      </c>
      <c r="E10" s="1387">
        <v>0</v>
      </c>
    </row>
    <row r="11" spans="4:7" hidden="1" x14ac:dyDescent="0.2">
      <c r="D11" s="1383" t="s">
        <v>971</v>
      </c>
      <c r="E11" s="1387">
        <v>20.5</v>
      </c>
    </row>
    <row r="12" spans="4:7" hidden="1" x14ac:dyDescent="0.2">
      <c r="D12" s="1224" t="s">
        <v>691</v>
      </c>
      <c r="E12" s="1225">
        <v>0</v>
      </c>
    </row>
    <row r="13" spans="4:7" x14ac:dyDescent="0.2">
      <c r="D13" s="1224" t="s">
        <v>970</v>
      </c>
      <c r="E13" s="1225">
        <v>53</v>
      </c>
    </row>
    <row r="14" spans="4:7" s="300" customFormat="1" x14ac:dyDescent="0.2">
      <c r="D14" s="1388" t="s">
        <v>981</v>
      </c>
      <c r="E14" s="1225">
        <v>19.75</v>
      </c>
    </row>
    <row r="15" spans="4:7" s="300" customFormat="1" hidden="1" x14ac:dyDescent="0.2">
      <c r="D15" s="1224" t="s">
        <v>691</v>
      </c>
      <c r="E15" s="1225">
        <v>0</v>
      </c>
    </row>
    <row r="16" spans="4:7" s="300" customFormat="1" x14ac:dyDescent="0.2">
      <c r="D16" s="1224" t="s">
        <v>589</v>
      </c>
      <c r="E16" s="802">
        <v>21</v>
      </c>
    </row>
    <row r="17" spans="4:5" s="300" customFormat="1" hidden="1" x14ac:dyDescent="0.2">
      <c r="D17" s="1224" t="s">
        <v>691</v>
      </c>
      <c r="E17" s="1225">
        <v>0</v>
      </c>
    </row>
    <row r="18" spans="4:5" s="300" customFormat="1" x14ac:dyDescent="0.2">
      <c r="D18" s="1224" t="s">
        <v>990</v>
      </c>
      <c r="E18" s="802">
        <v>152</v>
      </c>
    </row>
    <row r="19" spans="4:5" s="300" customFormat="1" hidden="1" x14ac:dyDescent="0.2">
      <c r="D19" s="1224" t="s">
        <v>969</v>
      </c>
      <c r="E19" s="802">
        <v>146</v>
      </c>
    </row>
    <row r="20" spans="4:5" s="300" customFormat="1" hidden="1" x14ac:dyDescent="0.2">
      <c r="D20" s="1224" t="s">
        <v>954</v>
      </c>
      <c r="E20" s="802">
        <v>0</v>
      </c>
    </row>
    <row r="21" spans="4:5" s="300" customFormat="1" x14ac:dyDescent="0.2">
      <c r="D21" s="646" t="s">
        <v>955</v>
      </c>
      <c r="E21" s="802">
        <v>50</v>
      </c>
    </row>
    <row r="22" spans="4:5" s="647" customFormat="1" x14ac:dyDescent="0.2">
      <c r="D22" s="1384" t="s">
        <v>956</v>
      </c>
      <c r="E22" s="1385">
        <v>2</v>
      </c>
    </row>
    <row r="23" spans="4:5" s="647" customFormat="1" x14ac:dyDescent="0.2">
      <c r="D23" s="1386" t="s">
        <v>991</v>
      </c>
      <c r="E23" s="1385">
        <v>52.38</v>
      </c>
    </row>
    <row r="24" spans="4:5" s="647" customFormat="1" hidden="1" x14ac:dyDescent="0.2">
      <c r="D24" s="1386" t="s">
        <v>972</v>
      </c>
      <c r="E24" s="1389">
        <v>46.38</v>
      </c>
    </row>
    <row r="25" spans="4:5" ht="13.5" thickBot="1" x14ac:dyDescent="0.25">
      <c r="D25" s="1224" t="s">
        <v>993</v>
      </c>
      <c r="E25" s="1390">
        <v>33</v>
      </c>
    </row>
    <row r="26" spans="4:5" ht="13.5" thickBot="1" x14ac:dyDescent="0.25">
      <c r="D26" s="589" t="s">
        <v>590</v>
      </c>
      <c r="E26" s="1174">
        <f>E11+E13+E14+E16+E19+E21+E22+E24+E25</f>
        <v>391.63</v>
      </c>
    </row>
    <row r="27" spans="4:5" ht="13.5" thickBot="1" x14ac:dyDescent="0.25">
      <c r="D27" s="589" t="s">
        <v>992</v>
      </c>
      <c r="E27" s="1174">
        <f>E10+E13+E14+E16+E18+E21+E22+E23+E25</f>
        <v>383.13</v>
      </c>
    </row>
    <row r="28" spans="4:5" ht="13.5" thickBot="1" x14ac:dyDescent="0.25">
      <c r="D28" s="1175" t="s">
        <v>591</v>
      </c>
      <c r="E28" s="1174">
        <f>E26-E12-E15-E17-E20-E21-E22-E25</f>
        <v>306.63</v>
      </c>
    </row>
    <row r="29" spans="4:5" ht="13.5" thickBot="1" x14ac:dyDescent="0.25">
      <c r="D29" s="1175" t="s">
        <v>994</v>
      </c>
      <c r="E29" s="1174">
        <f>E27-E25-E22-E21</f>
        <v>298.13</v>
      </c>
    </row>
    <row r="30" spans="4:5" ht="13.5" thickBot="1" x14ac:dyDescent="0.25">
      <c r="D30" s="1391" t="s">
        <v>156</v>
      </c>
      <c r="E30" s="1392">
        <v>6</v>
      </c>
    </row>
    <row r="31" spans="4:5" ht="13.5" thickBot="1" x14ac:dyDescent="0.25">
      <c r="D31" s="589" t="s">
        <v>690</v>
      </c>
      <c r="E31" s="1174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34" t="str">
        <f>CONCATENATE("1.5. melléklet"," ",ALAPADATOK!A7," ",ALAPADATOK!B7," ",ALAPADATOK!C7," ",ALAPADATOK!D7," ",ALAPADATOK!E7," ",ALAPADATOK!F7," ",ALAPADATOK!G7," ",ALAPADATOK!H7)</f>
        <v>1.5. melléklet a 15 / 2021. ( IX.30. ) önkormányzati rendelethez</v>
      </c>
      <c r="B1" s="1434"/>
      <c r="C1" s="1434"/>
    </row>
    <row r="2" spans="1:3" s="816" customFormat="1" x14ac:dyDescent="0.25">
      <c r="A2" s="692"/>
      <c r="B2" s="692"/>
      <c r="C2" s="692"/>
    </row>
    <row r="3" spans="1:3" s="671" customFormat="1" x14ac:dyDescent="0.25">
      <c r="A3" s="1439" t="str">
        <f>CONCATENATE(ALAPADATOK!A3)</f>
        <v>Tiszavasvári Város Önkormányzat</v>
      </c>
      <c r="B3" s="1439"/>
      <c r="C3" s="1439"/>
    </row>
    <row r="4" spans="1:3" s="671" customFormat="1" x14ac:dyDescent="0.25">
      <c r="A4" s="1438" t="str">
        <f>CONCATENATE(ALAPADATOK!D7," ÉVI KÖLTSÉGVETÉS")</f>
        <v>2021. ÉVI KÖLTSÉGVETÉS</v>
      </c>
      <c r="B4" s="1438"/>
      <c r="C4" s="1438"/>
    </row>
    <row r="5" spans="1:3" s="671" customFormat="1" x14ac:dyDescent="0.25">
      <c r="A5" s="1438" t="s">
        <v>717</v>
      </c>
      <c r="B5" s="1438"/>
      <c r="C5" s="1438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36" t="s">
        <v>13</v>
      </c>
      <c r="B7" s="1436"/>
      <c r="C7" s="1436"/>
    </row>
    <row r="8" spans="1:3" ht="15.95" customHeight="1" thickBot="1" x14ac:dyDescent="0.3">
      <c r="A8" s="1435" t="s">
        <v>115</v>
      </c>
      <c r="B8" s="1435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36" t="s">
        <v>44</v>
      </c>
      <c r="B96" s="1436"/>
      <c r="C96" s="1436"/>
    </row>
    <row r="97" spans="1:3" s="193" customFormat="1" ht="16.5" customHeight="1" thickBot="1" x14ac:dyDescent="0.3">
      <c r="A97" s="1437" t="s">
        <v>116</v>
      </c>
      <c r="B97" s="1437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38" t="s">
        <v>308</v>
      </c>
      <c r="B163" s="1438"/>
      <c r="C163" s="1438"/>
    </row>
    <row r="164" spans="1:3" ht="15" customHeight="1" thickBot="1" x14ac:dyDescent="0.3">
      <c r="A164" s="1435" t="s">
        <v>117</v>
      </c>
      <c r="B164" s="1435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16" zoomScale="115" zoomScaleNormal="115" zoomScaleSheetLayoutView="100" workbookViewId="0">
      <selection activeCell="D16" sqref="D16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45" t="s">
        <v>120</v>
      </c>
      <c r="B1" s="1445"/>
      <c r="C1" s="1445"/>
      <c r="D1" s="1445"/>
      <c r="E1" s="1445"/>
      <c r="F1" s="1441" t="str">
        <f>CONCATENATE("4. melléklet ",ALAPADATOK!A7," ",ALAPADATOK!B7," ",ALAPADATOK!C7," ",ALAPADATOK!D7," ",ALAPADATOK!E7," ",ALAPADATOK!F7," ",ALAPADATOK!G7," ",ALAPADATOK!H7)</f>
        <v>4. melléklet a 15 / 2021. ( IX.30. ) önkormányzati rendelethez</v>
      </c>
    </row>
    <row r="2" spans="1:6" s="676" customFormat="1" ht="39.75" hidden="1" customHeight="1" thickBot="1" x14ac:dyDescent="0.25">
      <c r="A2" s="1320"/>
      <c r="B2" s="1315"/>
      <c r="C2" s="1315"/>
      <c r="D2" s="1315"/>
      <c r="E2" s="1315"/>
      <c r="F2" s="1441"/>
    </row>
    <row r="3" spans="1:6" ht="18" customHeight="1" thickBot="1" x14ac:dyDescent="0.25">
      <c r="A3" s="1442" t="s">
        <v>64</v>
      </c>
      <c r="B3" s="511" t="s">
        <v>52</v>
      </c>
      <c r="C3" s="512"/>
      <c r="D3" s="511" t="s">
        <v>53</v>
      </c>
      <c r="E3" s="513"/>
      <c r="F3" s="1441"/>
    </row>
    <row r="4" spans="1:6" s="128" customFormat="1" ht="35.25" customHeight="1" thickBot="1" x14ac:dyDescent="0.25">
      <c r="A4" s="1443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41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41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1652495968</v>
      </c>
      <c r="D6" s="150" t="s">
        <v>59</v>
      </c>
      <c r="E6" s="34">
        <f>'1.1.sz.mell. '!C100</f>
        <v>1258181723</v>
      </c>
      <c r="F6" s="1441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358216768</v>
      </c>
      <c r="D7" s="140" t="s">
        <v>135</v>
      </c>
      <c r="E7" s="34">
        <f>'1.1.sz.mell. '!C101</f>
        <v>213032145</v>
      </c>
      <c r="F7" s="1441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1142101731</v>
      </c>
      <c r="F8" s="1441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56500000</v>
      </c>
      <c r="F9" s="1441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367517639</v>
      </c>
      <c r="D10" s="140" t="s">
        <v>137</v>
      </c>
      <c r="E10" s="36">
        <f>'1.1.sz.mell. '!C104</f>
        <v>252838130</v>
      </c>
      <c r="F10" s="1441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11474000</v>
      </c>
      <c r="D11" s="140" t="s">
        <v>47</v>
      </c>
      <c r="E11" s="855">
        <f>'1.1.sz.mell. '!C117-'2.2.sz.mell .'!E17</f>
        <v>17512624</v>
      </c>
      <c r="F11" s="1441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41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41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41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41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41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41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2788304375</v>
      </c>
      <c r="D18" s="55" t="s">
        <v>316</v>
      </c>
      <c r="E18" s="126">
        <f>SUM(E6:E17)</f>
        <v>2940166353</v>
      </c>
      <c r="F18" s="1441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41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850000000</v>
      </c>
      <c r="F20" s="1441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41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41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41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850000000</v>
      </c>
      <c r="D24" s="140" t="s">
        <v>144</v>
      </c>
      <c r="E24" s="36"/>
      <c r="F24" s="1441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850000000</v>
      </c>
      <c r="D25" s="150" t="s">
        <v>428</v>
      </c>
      <c r="E25" s="127"/>
      <c r="F25" s="1441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41"/>
    </row>
    <row r="27" spans="1:6" ht="12.95" customHeight="1" x14ac:dyDescent="0.2">
      <c r="A27" s="518" t="s">
        <v>37</v>
      </c>
      <c r="B27" s="848" t="s">
        <v>257</v>
      </c>
      <c r="C27" s="35">
        <f>'1.1.sz.mell. '!C83</f>
        <v>48966750</v>
      </c>
      <c r="D27" s="140" t="s">
        <v>437</v>
      </c>
      <c r="E27" s="36"/>
      <c r="F27" s="1441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41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945827526</v>
      </c>
      <c r="D29" s="55" t="s">
        <v>449</v>
      </c>
      <c r="E29" s="126">
        <f>SUM(E19:E28)</f>
        <v>898966750</v>
      </c>
      <c r="F29" s="1441"/>
    </row>
    <row r="30" spans="1:6" ht="13.5" thickBot="1" x14ac:dyDescent="0.25">
      <c r="A30" s="138" t="s">
        <v>40</v>
      </c>
      <c r="B30" s="142" t="s">
        <v>450</v>
      </c>
      <c r="C30" s="292">
        <f>+C18+C29</f>
        <v>3734131901</v>
      </c>
      <c r="D30" s="142" t="s">
        <v>451</v>
      </c>
      <c r="E30" s="292">
        <f>E29+E18</f>
        <v>3839133103</v>
      </c>
      <c r="F30" s="1441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151861978</v>
      </c>
      <c r="D31" s="142" t="s">
        <v>122</v>
      </c>
      <c r="E31" s="292" t="str">
        <f>IF(C18-E18&gt;0,C18-E18,"-")</f>
        <v>-</v>
      </c>
      <c r="F31" s="1441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41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105001202</v>
      </c>
      <c r="D33" s="142" t="s">
        <v>167</v>
      </c>
      <c r="E33" s="292" t="str">
        <f>IF(C30-E30&gt;0,C30-E30,"-")</f>
        <v>-</v>
      </c>
      <c r="F33" s="1441"/>
    </row>
    <row r="34" spans="1:6" ht="18.75" x14ac:dyDescent="0.2">
      <c r="B34" s="1444"/>
      <c r="C34" s="1444"/>
      <c r="D34" s="1444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zoomScaleSheetLayoutView="115" workbookViewId="0">
      <selection activeCell="D12" sqref="D12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46" t="s">
        <v>511</v>
      </c>
      <c r="B2" s="1446"/>
      <c r="C2" s="1446"/>
      <c r="D2" s="1446"/>
      <c r="E2" s="1446"/>
      <c r="F2" s="1441" t="str">
        <f>CONCATENATE("5. melléklet ",ALAPADATOK!A7," ",ALAPADATOK!B7," ",ALAPADATOK!C7," ",ALAPADATOK!D7," ",ALAPADATOK!E7," ",ALAPADATOK!F7," ",ALAPADATOK!G7," ",ALAPADATOK!H7)</f>
        <v>5. melléklet a 15 / 2021. ( IX.30. ) önkormányzati rendelethez</v>
      </c>
    </row>
    <row r="3" spans="1:6" s="676" customFormat="1" ht="37.5" hidden="1" customHeight="1" thickBot="1" x14ac:dyDescent="0.25">
      <c r="A3" s="1393"/>
      <c r="B3" s="1325"/>
      <c r="C3" s="1325"/>
      <c r="D3" s="1325"/>
      <c r="E3" s="1325"/>
      <c r="F3" s="1441"/>
    </row>
    <row r="4" spans="1:6" ht="13.5" customHeight="1" thickBot="1" x14ac:dyDescent="0.25">
      <c r="A4" s="1442" t="s">
        <v>64</v>
      </c>
      <c r="B4" s="70" t="s">
        <v>52</v>
      </c>
      <c r="C4" s="1329"/>
      <c r="D4" s="70" t="s">
        <v>53</v>
      </c>
      <c r="E4" s="1330"/>
      <c r="F4" s="1441"/>
    </row>
    <row r="5" spans="1:6" s="128" customFormat="1" ht="24.75" thickBot="1" x14ac:dyDescent="0.25">
      <c r="A5" s="1443"/>
      <c r="B5" s="70" t="s">
        <v>58</v>
      </c>
      <c r="C5" s="29" t="s">
        <v>796</v>
      </c>
      <c r="D5" s="70" t="s">
        <v>58</v>
      </c>
      <c r="E5" s="29" t="s">
        <v>796</v>
      </c>
      <c r="F5" s="1441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41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1512582898</v>
      </c>
      <c r="D7" s="150" t="s">
        <v>159</v>
      </c>
      <c r="E7" s="854">
        <f>'1.1.sz.mell. '!C121</f>
        <v>547942176</v>
      </c>
      <c r="F7" s="1441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8" t="s">
        <v>323</v>
      </c>
      <c r="E8" s="867">
        <f>'1.1.sz.mell. '!C122</f>
        <v>260190536</v>
      </c>
      <c r="F8" s="1441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8" t="s">
        <v>139</v>
      </c>
      <c r="E9" s="867">
        <f>'1.1.sz.mell. '!C123</f>
        <v>1641313272</v>
      </c>
      <c r="F9" s="1441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8" t="s">
        <v>324</v>
      </c>
      <c r="E10" s="867">
        <f>'1.1.sz.mell. '!C124</f>
        <v>390701940</v>
      </c>
      <c r="F10" s="1441"/>
    </row>
    <row r="11" spans="1:6" ht="12.75" customHeight="1" x14ac:dyDescent="0.2">
      <c r="A11" s="136" t="s">
        <v>20</v>
      </c>
      <c r="B11" s="137" t="s">
        <v>320</v>
      </c>
      <c r="C11" s="35"/>
      <c r="D11" s="848" t="s">
        <v>161</v>
      </c>
      <c r="E11" s="855">
        <f>'1.1.sz.mell. '!C125</f>
        <v>5911806</v>
      </c>
      <c r="F11" s="1441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5"/>
      <c r="F12" s="1441"/>
    </row>
    <row r="13" spans="1:6" ht="12.95" customHeight="1" x14ac:dyDescent="0.2">
      <c r="A13" s="136" t="s">
        <v>22</v>
      </c>
      <c r="B13" s="30"/>
      <c r="C13" s="35"/>
      <c r="D13" s="252"/>
      <c r="E13" s="855"/>
      <c r="F13" s="1441"/>
    </row>
    <row r="14" spans="1:6" ht="12.95" customHeight="1" x14ac:dyDescent="0.2">
      <c r="A14" s="136" t="s">
        <v>23</v>
      </c>
      <c r="B14" s="30"/>
      <c r="C14" s="35"/>
      <c r="D14" s="252"/>
      <c r="E14" s="855"/>
      <c r="F14" s="1441"/>
    </row>
    <row r="15" spans="1:6" ht="12.95" customHeight="1" x14ac:dyDescent="0.2">
      <c r="A15" s="136" t="s">
        <v>24</v>
      </c>
      <c r="B15" s="253"/>
      <c r="C15" s="262"/>
      <c r="D15" s="252"/>
      <c r="E15" s="855"/>
      <c r="F15" s="1441"/>
    </row>
    <row r="16" spans="1:6" x14ac:dyDescent="0.2">
      <c r="A16" s="136" t="s">
        <v>25</v>
      </c>
      <c r="B16" s="30"/>
      <c r="C16" s="262"/>
      <c r="D16" s="252"/>
      <c r="E16" s="855"/>
      <c r="F16" s="1441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78855087</v>
      </c>
      <c r="F17" s="1441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1575832898</v>
      </c>
      <c r="D18" s="55" t="s">
        <v>332</v>
      </c>
      <c r="E18" s="857">
        <f>+E7+E9+E11+E12+E13+E14+E15+E16+E17</f>
        <v>2274022341</v>
      </c>
      <c r="F18" s="1441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8" t="s">
        <v>143</v>
      </c>
      <c r="E19" s="854"/>
      <c r="F19" s="1441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8" t="s">
        <v>146</v>
      </c>
      <c r="E20" s="855">
        <f>SUM(E21:E22)</f>
        <v>24993747</v>
      </c>
      <c r="F20" s="1441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5"/>
      <c r="F21" s="1441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5">
        <f>'1.1.sz.mell. '!C136</f>
        <v>24993747</v>
      </c>
      <c r="F22" s="1441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5"/>
      <c r="F23" s="1441"/>
    </row>
    <row r="24" spans="1:6" ht="12.95" customHeight="1" x14ac:dyDescent="0.2">
      <c r="A24" s="136" t="s">
        <v>33</v>
      </c>
      <c r="B24" s="148" t="s">
        <v>172</v>
      </c>
      <c r="C24" s="35"/>
      <c r="D24" s="848" t="s">
        <v>147</v>
      </c>
      <c r="E24" s="855"/>
      <c r="F24" s="1441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18562529</v>
      </c>
      <c r="D25" s="150" t="s">
        <v>145</v>
      </c>
      <c r="E25" s="855"/>
      <c r="F25" s="1441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18562529</v>
      </c>
      <c r="D26" s="150" t="s">
        <v>325</v>
      </c>
      <c r="E26" s="855"/>
      <c r="F26" s="1441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5"/>
      <c r="F27" s="1441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5"/>
      <c r="F28" s="1441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5"/>
      <c r="F29" s="1441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5"/>
      <c r="F30" s="1441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828184392</v>
      </c>
      <c r="D31" s="55" t="s">
        <v>326</v>
      </c>
      <c r="E31" s="857">
        <f>SUM(E19:E30)-E21-E22</f>
        <v>24993747</v>
      </c>
      <c r="F31" s="1441"/>
    </row>
    <row r="32" spans="1:6" ht="13.5" thickBot="1" x14ac:dyDescent="0.25">
      <c r="A32" s="138" t="s">
        <v>41</v>
      </c>
      <c r="B32" s="142" t="s">
        <v>327</v>
      </c>
      <c r="C32" s="143">
        <f>+C18+C31</f>
        <v>2404017290</v>
      </c>
      <c r="D32" s="142" t="s">
        <v>328</v>
      </c>
      <c r="E32" s="143">
        <f>+E18+E31</f>
        <v>2299016088</v>
      </c>
      <c r="F32" s="1441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698189443</v>
      </c>
      <c r="D33" s="142" t="s">
        <v>122</v>
      </c>
      <c r="E33" s="143" t="str">
        <f>IF(C18-E18&gt;0,C18-E18,"-")</f>
        <v>-</v>
      </c>
      <c r="F33" s="1441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803190645</v>
      </c>
      <c r="F34" s="1441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105001202</v>
      </c>
      <c r="F35" s="1441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21" sqref="E21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4364137273</v>
      </c>
      <c r="C6" s="674" t="s">
        <v>722</v>
      </c>
      <c r="D6" s="678">
        <f>'2.1.sz.mell '!C18+'2.2.sz.mell .'!C18</f>
        <v>4364137273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1774011918</v>
      </c>
      <c r="C7" s="674" t="s">
        <v>724</v>
      </c>
      <c r="D7" s="678">
        <f>'2.1.sz.mell '!C29+'2.2.sz.mell .'!C31</f>
        <v>1774011918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6138149191</v>
      </c>
      <c r="C8" s="674" t="s">
        <v>726</v>
      </c>
      <c r="D8" s="678">
        <f>'2.1.sz.mell '!C30+'2.2.sz.mell .'!C32</f>
        <v>6138149191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5214188694</v>
      </c>
      <c r="C13" s="674" t="s">
        <v>728</v>
      </c>
      <c r="D13" s="678">
        <f>'2.1.sz.mell '!E18+'2.2.sz.mell .'!E18</f>
        <v>5214188694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923960497</v>
      </c>
      <c r="C14" s="674" t="s">
        <v>730</v>
      </c>
      <c r="D14" s="678">
        <f>'2.1.sz.mell '!E29+'2.2.sz.mell .'!E31</f>
        <v>923960497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6138149191</v>
      </c>
      <c r="C15" s="674" t="s">
        <v>732</v>
      </c>
      <c r="D15" s="678">
        <f>'2.1.sz.mell '!E30+'2.2.sz.mell .'!E32</f>
        <v>6138149191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'1.sz tájékoztató t 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'7.sz.mell.'!Nyomtatási_terület</vt:lpstr>
      <vt:lpstr>'8.2. sz. mell.'!Nyomtatási_terület</vt:lpstr>
      <vt:lpstr>'9.1. sz. mell.'!Nyomtatási_terület</vt:lpstr>
      <vt:lpstr>'9.1.1. sz. mell. '!Nyomtatási_terület</vt:lpstr>
      <vt:lpstr>'9.2. sz. mell. '!Nyomtatási_terület</vt:lpstr>
      <vt:lpstr>'9.7.2. sz. mell TIB'!Nyomtatási_terület</vt:lpstr>
      <vt:lpstr>'9.sz tájékoztató'!Nyomtatási_terület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2021-09-30T09:17:27Z</cp:lastPrinted>
  <dcterms:created xsi:type="dcterms:W3CDTF">1999-10-30T10:30:45Z</dcterms:created>
  <dcterms:modified xsi:type="dcterms:W3CDTF">2021-10-05T06:50:49Z</dcterms:modified>
</cp:coreProperties>
</file>