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6185" yWindow="300" windowWidth="28800" windowHeight="12435" tabRatio="816" firstSheet="1" activeTab="13"/>
  </bookViews>
  <sheets>
    <sheet name="ALAPADATOK" sheetId="1411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r:id="rId6"/>
    <sheet name="2.1.sz.mell " sheetId="1361" r:id="rId7"/>
    <sheet name="2.2.sz.mell ." sheetId="1362" r:id="rId8"/>
    <sheet name="KV_ELLENŐRZÉS" sheetId="1413" state="hidden" r:id="rId9"/>
    <sheet name="3. sz mell." sheetId="1416" r:id="rId10"/>
    <sheet name="4.sz.mell." sheetId="1417" r:id="rId11"/>
    <sheet name="5.sz.mell." sheetId="1418" r:id="rId12"/>
    <sheet name="6.sz.mell." sheetId="1419" r:id="rId13"/>
    <sheet name="7.sz.mell." sheetId="1420" r:id="rId14"/>
    <sheet name="8. sz. mell." sheetId="1421" r:id="rId15"/>
    <sheet name="8.1. sz. mell." sheetId="1422" r:id="rId16"/>
    <sheet name="8.2. sz. mell." sheetId="1423" r:id="rId17"/>
    <sheet name="8.3. sz. mell." sheetId="1424" r:id="rId18"/>
    <sheet name="8.4. sz. mell." sheetId="1425" r:id="rId19"/>
    <sheet name="8.5. sz. mell." sheetId="1426" r:id="rId20"/>
    <sheet name="8.6. sz. mell." sheetId="1461" r:id="rId21"/>
    <sheet name="9.1. sz. mell." sheetId="1427" r:id="rId22"/>
    <sheet name="9.1.1. sz. mell. " sheetId="1428" r:id="rId23"/>
    <sheet name="9.1.2. sz. mell." sheetId="1429" r:id="rId24"/>
    <sheet name="9.2. sz. mell. " sheetId="1430" r:id="rId25"/>
    <sheet name="9.2.1. sz. mell" sheetId="1431" r:id="rId26"/>
    <sheet name="9.2.2. sz.  mell" sheetId="1432" r:id="rId27"/>
    <sheet name="9.2.3. sz. mell." sheetId="1433" r:id="rId28"/>
    <sheet name="9.3. sz. mell" sheetId="1462" r:id="rId29"/>
    <sheet name="9.3.1. sz. mell EOI" sheetId="1463" r:id="rId30"/>
    <sheet name="9.3.2.sz.mell EOI" sheetId="1464" r:id="rId31"/>
    <sheet name="9.4. sz. mell EKIK" sheetId="1465" r:id="rId32"/>
    <sheet name="9.4.1. sz. mell EKIK" sheetId="1466" r:id="rId33"/>
    <sheet name="9.4.2. sz. mell EKIK" sheetId="1467" r:id="rId34"/>
    <sheet name="9.5. sz. mell VK" sheetId="1468" r:id="rId35"/>
    <sheet name="9.5.1. sz. mell VK " sheetId="1469" r:id="rId36"/>
    <sheet name="9.5.2. sz. mell VK" sheetId="1470" r:id="rId37"/>
    <sheet name="9.6. sz. mell Kornisné Kp." sheetId="1471" r:id="rId38"/>
    <sheet name="9.6.1. sz. mell Kornisné Kp. " sheetId="1472" r:id="rId39"/>
    <sheet name="9.6.2. sz. mell Kornisné Kp." sheetId="1473" r:id="rId40"/>
    <sheet name="9.6.3. sz. mell Kornisné Kp " sheetId="1474" r:id="rId41"/>
    <sheet name="9.7. sz. mell TIB  " sheetId="1475" r:id="rId42"/>
    <sheet name="9.7.1. sz. mell TIB  " sheetId="1476" r:id="rId43"/>
    <sheet name="9.7.2. sz. mell TIB" sheetId="1477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r:id="rId48"/>
    <sheet name="3. sz tájékoztató t." sheetId="1454" r:id="rId49"/>
    <sheet name="4.sz tájékoztató t " sheetId="1455" r:id="rId50"/>
    <sheet name="5.sz. tájékoztató" sheetId="1456" r:id="rId51"/>
    <sheet name="6.sz tájékoztató t " sheetId="1457" r:id="rId52"/>
    <sheet name="7.sz táj. feladatos Önk. " sheetId="1458" r:id="rId53"/>
    <sheet name="8.sz tájéloztató" sheetId="1459" r:id="rId54"/>
    <sheet name="9.sz tájékoztató" sheetId="1478" r:id="rId55"/>
  </sheet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'!$A$1:$C$166</definedName>
    <definedName name="_xlnm.Print_Area" localSheetId="2">'1.2.sz.mell. '!$A$1:$F$166</definedName>
    <definedName name="_xlnm.Print_Area" localSheetId="3">'1.3.sz.mell.'!$A$1:$C$166</definedName>
    <definedName name="_xlnm.Print_Area" localSheetId="4">'1.4.sz.mell. '!$A$1:$C$166</definedName>
    <definedName name="_xlnm.Print_Area" localSheetId="5">'1.5.sz.mell.'!$A$1:$C$166</definedName>
    <definedName name="_xlnm.Print_Area" localSheetId="6">'2.1.sz.mell '!$A$1:$F$32</definedName>
    <definedName name="_xlnm.Print_Area" localSheetId="50">'5.sz. tájékoztató'!$A$1:$D$51</definedName>
    <definedName name="_xlnm.Print_Area" localSheetId="12">'6.sz.mell.'!$A$1:$G$50</definedName>
    <definedName name="_xlnm.Print_Area" localSheetId="52">'7.sz táj. feladatos Önk. '!$A$1:$O$60</definedName>
    <definedName name="_xlnm.Print_Area" localSheetId="16">'8.2. sz. mell.'!$A$1:$E$45</definedName>
    <definedName name="_xlnm.Print_Area" localSheetId="21">'9.1. sz. mell.'!$A$1:$C$159</definedName>
    <definedName name="_xlnm.Print_Area" localSheetId="22">'9.1.1. sz. mell. '!$A$1:$C$158</definedName>
    <definedName name="_xlnm.Print_Area" localSheetId="24">'9.2. sz. mell. '!$A:$C</definedName>
    <definedName name="_xlnm.Print_Area" localSheetId="43">'9.7.2. sz. mell TIB'!$A:$C</definedName>
    <definedName name="_xlnm.Print_Area" localSheetId="54">'9.sz tájékoztató'!$A$1:$E$27</definedName>
  </definedNames>
  <calcPr calcId="145621"/>
</workbook>
</file>

<file path=xl/calcChain.xml><?xml version="1.0" encoding="utf-8"?>
<calcChain xmlns="http://schemas.openxmlformats.org/spreadsheetml/2006/main">
  <c r="E15" i="1362" l="1"/>
  <c r="F57" i="1458" l="1"/>
  <c r="C14" i="1458"/>
  <c r="N57" i="1458"/>
  <c r="J57" i="1458"/>
  <c r="N20" i="1455"/>
  <c r="I20" i="1455"/>
  <c r="L15" i="1455"/>
  <c r="N7" i="1455"/>
  <c r="I7" i="1455"/>
  <c r="I27" i="1453"/>
  <c r="C115" i="1428"/>
  <c r="C98" i="1428"/>
  <c r="C69" i="1428"/>
  <c r="C16" i="1428"/>
  <c r="C115" i="1427"/>
  <c r="C98" i="1427"/>
  <c r="C69" i="1427"/>
  <c r="C16" i="1427"/>
  <c r="D120" i="1358"/>
  <c r="D103" i="1358"/>
  <c r="D71" i="1358"/>
  <c r="D18" i="1358"/>
  <c r="D18" i="1357"/>
  <c r="D71" i="1357"/>
  <c r="D120" i="1357"/>
  <c r="D103" i="1357"/>
  <c r="C15" i="1424" l="1"/>
  <c r="D15" i="1424"/>
  <c r="B15" i="1424"/>
  <c r="C15" i="1422"/>
  <c r="D15" i="1422"/>
  <c r="E15" i="1422"/>
  <c r="B15" i="1422"/>
  <c r="A1" i="1463" l="1"/>
  <c r="A1" i="1464"/>
  <c r="A1" i="1465"/>
  <c r="A1" i="1466"/>
  <c r="A1" i="1467"/>
  <c r="A1" i="1468"/>
  <c r="A1" i="1469"/>
  <c r="A1" i="1470"/>
  <c r="A1" i="1471"/>
  <c r="A1" i="1472"/>
  <c r="A1" i="1473"/>
  <c r="A1" i="1474"/>
  <c r="A1" i="1475"/>
  <c r="A1" i="1476"/>
  <c r="A1" i="1477"/>
  <c r="A1" i="1462"/>
  <c r="D1" i="1478" l="1"/>
  <c r="C6" i="1362" l="1"/>
  <c r="C6" i="1361"/>
  <c r="H27" i="1455"/>
  <c r="K27" i="1455"/>
  <c r="N27" i="1455"/>
  <c r="M27" i="1455"/>
  <c r="L27" i="1455"/>
  <c r="E27" i="1455"/>
  <c r="D27" i="1455"/>
  <c r="C27" i="1455"/>
  <c r="H24" i="1455"/>
  <c r="G24" i="1455"/>
  <c r="I24" i="1455"/>
  <c r="D24" i="1455"/>
  <c r="C15" i="1455" l="1"/>
  <c r="N11" i="1455"/>
  <c r="M11" i="1455"/>
  <c r="L11" i="1455"/>
  <c r="K11" i="1455"/>
  <c r="J11" i="1455"/>
  <c r="I11" i="1455"/>
  <c r="H11" i="1455"/>
  <c r="G11" i="1455"/>
  <c r="F11" i="1455"/>
  <c r="E11" i="1455"/>
  <c r="D11" i="1455"/>
  <c r="C11" i="1455"/>
  <c r="F9" i="1455"/>
  <c r="F8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E23" i="1461" s="1"/>
  <c r="D13" i="1461"/>
  <c r="C13" i="1461"/>
  <c r="B13" i="1461"/>
  <c r="E12" i="1461"/>
  <c r="E11" i="1461"/>
  <c r="E10" i="1461"/>
  <c r="E9" i="1461"/>
  <c r="E8" i="1461"/>
  <c r="E7" i="1461"/>
  <c r="E6" i="1461"/>
  <c r="E13" i="1461" s="1"/>
  <c r="D45" i="1426"/>
  <c r="C45" i="1426"/>
  <c r="B45" i="1426"/>
  <c r="E42" i="1426"/>
  <c r="E41" i="1426"/>
  <c r="E40" i="1426"/>
  <c r="E39" i="1426"/>
  <c r="E38" i="1426"/>
  <c r="E45" i="1426" s="1"/>
  <c r="D35" i="1426"/>
  <c r="C35" i="1426"/>
  <c r="B35" i="1426"/>
  <c r="E34" i="1426"/>
  <c r="E33" i="1426"/>
  <c r="E32" i="1426"/>
  <c r="E31" i="1426"/>
  <c r="E30" i="1426"/>
  <c r="E29" i="1426"/>
  <c r="E28" i="1426"/>
  <c r="E35" i="1426" s="1"/>
  <c r="D23" i="1426"/>
  <c r="B23" i="1426"/>
  <c r="E22" i="1426"/>
  <c r="E21" i="1426"/>
  <c r="E20" i="1426"/>
  <c r="E19" i="1426"/>
  <c r="C18" i="1426"/>
  <c r="E18" i="1426" s="1"/>
  <c r="C17" i="1426"/>
  <c r="C23" i="1426" s="1"/>
  <c r="B17" i="1426"/>
  <c r="E17" i="1426" s="1"/>
  <c r="E16" i="1426"/>
  <c r="E23" i="1426" s="1"/>
  <c r="E15" i="1426"/>
  <c r="D15" i="1426"/>
  <c r="C15" i="1426"/>
  <c r="B15" i="1426"/>
  <c r="D13" i="1426"/>
  <c r="C13" i="1426"/>
  <c r="B13" i="1426"/>
  <c r="E12" i="1426"/>
  <c r="E11" i="1426"/>
  <c r="E10" i="1426"/>
  <c r="E9" i="1426"/>
  <c r="B9" i="1426"/>
  <c r="E8" i="1426"/>
  <c r="B8" i="1426"/>
  <c r="E7" i="1426"/>
  <c r="E6" i="1426"/>
  <c r="E13" i="1426" s="1"/>
  <c r="D45" i="1425"/>
  <c r="C45" i="1425"/>
  <c r="B45" i="1425"/>
  <c r="E42" i="1425"/>
  <c r="E41" i="1425"/>
  <c r="E40" i="1425"/>
  <c r="E39" i="1425"/>
  <c r="E38" i="1425"/>
  <c r="E45" i="1425" s="1"/>
  <c r="D35" i="1425"/>
  <c r="C35" i="1425"/>
  <c r="B35" i="1425"/>
  <c r="E34" i="1425"/>
  <c r="E33" i="1425"/>
  <c r="E32" i="1425"/>
  <c r="E31" i="1425"/>
  <c r="E30" i="1425"/>
  <c r="E29" i="1425"/>
  <c r="E28" i="1425"/>
  <c r="E35" i="1425" s="1"/>
  <c r="D23" i="1425"/>
  <c r="C23" i="1425"/>
  <c r="B23" i="1425"/>
  <c r="E22" i="1425"/>
  <c r="E21" i="1425"/>
  <c r="E20" i="1425"/>
  <c r="E19" i="1425"/>
  <c r="E18" i="1425"/>
  <c r="E17" i="1425"/>
  <c r="E16" i="1425"/>
  <c r="E23" i="1425" s="1"/>
  <c r="D13" i="1425"/>
  <c r="C13" i="1425"/>
  <c r="B13" i="1425"/>
  <c r="E8" i="1425"/>
  <c r="E7" i="1425"/>
  <c r="E6" i="1425"/>
  <c r="E13" i="1425" s="1"/>
  <c r="D45" i="1424"/>
  <c r="B45" i="1424"/>
  <c r="E44" i="1424"/>
  <c r="C43" i="1424"/>
  <c r="E43" i="1424" s="1"/>
  <c r="C42" i="1424"/>
  <c r="C45" i="1424" s="1"/>
  <c r="E45" i="1424" s="1"/>
  <c r="E41" i="1424"/>
  <c r="E40" i="1424"/>
  <c r="E39" i="1424"/>
  <c r="E38" i="1424"/>
  <c r="D37" i="1424"/>
  <c r="C37" i="1424"/>
  <c r="B37" i="1424"/>
  <c r="D35" i="1424"/>
  <c r="C35" i="1424"/>
  <c r="E35" i="1424" s="1"/>
  <c r="B35" i="1424"/>
  <c r="E34" i="1424"/>
  <c r="E33" i="1424"/>
  <c r="E32" i="1424"/>
  <c r="E31" i="1424"/>
  <c r="E30" i="1424"/>
  <c r="E29" i="1424"/>
  <c r="E28" i="1424"/>
  <c r="D23" i="1424"/>
  <c r="B23" i="1424"/>
  <c r="E22" i="1424"/>
  <c r="E21" i="1424"/>
  <c r="E20" i="1424"/>
  <c r="E19" i="1424"/>
  <c r="C18" i="1424"/>
  <c r="B18" i="1424"/>
  <c r="E18" i="1424" s="1"/>
  <c r="E17" i="1424"/>
  <c r="C16" i="1424"/>
  <c r="C23" i="1424" s="1"/>
  <c r="D13" i="1424"/>
  <c r="C13" i="1424"/>
  <c r="E12" i="1424"/>
  <c r="E11" i="1424"/>
  <c r="E10" i="1424"/>
  <c r="E9" i="1424"/>
  <c r="B8" i="1424"/>
  <c r="E8" i="1424" s="1"/>
  <c r="E7" i="1424"/>
  <c r="E6" i="1424"/>
  <c r="D45" i="1423"/>
  <c r="C45" i="1423"/>
  <c r="B45" i="1423"/>
  <c r="E44" i="1423"/>
  <c r="E43" i="1423"/>
  <c r="E42" i="1423"/>
  <c r="E41" i="1423"/>
  <c r="E40" i="1423"/>
  <c r="E39" i="1423"/>
  <c r="E38" i="1423"/>
  <c r="E45" i="1423" s="1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E35" i="1423" s="1"/>
  <c r="D23" i="1423"/>
  <c r="C23" i="1423"/>
  <c r="E22" i="1423"/>
  <c r="E21" i="1423"/>
  <c r="E20" i="1423"/>
  <c r="E19" i="1423"/>
  <c r="E18" i="1423"/>
  <c r="B18" i="1423"/>
  <c r="B23" i="1423" s="1"/>
  <c r="E17" i="1423"/>
  <c r="E16" i="1423"/>
  <c r="E23" i="1423" s="1"/>
  <c r="D15" i="1423"/>
  <c r="C15" i="1423"/>
  <c r="B15" i="1423"/>
  <c r="D13" i="1423"/>
  <c r="C13" i="1423"/>
  <c r="B13" i="1423"/>
  <c r="E12" i="1423"/>
  <c r="E11" i="1423"/>
  <c r="E10" i="1423"/>
  <c r="E9" i="1423"/>
  <c r="E8" i="1423"/>
  <c r="E7" i="1423"/>
  <c r="E6" i="1423"/>
  <c r="E13" i="1423" s="1"/>
  <c r="D45" i="1422"/>
  <c r="C45" i="1422"/>
  <c r="B45" i="1422"/>
  <c r="E44" i="1422"/>
  <c r="E43" i="1422"/>
  <c r="E42" i="1422"/>
  <c r="E41" i="1422"/>
  <c r="E40" i="1422"/>
  <c r="C40" i="1422"/>
  <c r="E39" i="1422"/>
  <c r="C39" i="1422"/>
  <c r="E38" i="1422"/>
  <c r="E45" i="1422" s="1"/>
  <c r="C38" i="1422"/>
  <c r="D35" i="1422"/>
  <c r="C35" i="1422"/>
  <c r="B35" i="1422"/>
  <c r="E34" i="1422"/>
  <c r="E33" i="1422"/>
  <c r="E32" i="1422"/>
  <c r="E31" i="1422"/>
  <c r="E30" i="1422"/>
  <c r="E35" i="1422" s="1"/>
  <c r="C30" i="1422"/>
  <c r="E29" i="1422"/>
  <c r="E28" i="1422"/>
  <c r="E22" i="1422"/>
  <c r="E21" i="1422"/>
  <c r="E20" i="1422"/>
  <c r="E19" i="1422"/>
  <c r="D18" i="1422"/>
  <c r="D23" i="1422" s="1"/>
  <c r="C18" i="1422"/>
  <c r="C23" i="1422" s="1"/>
  <c r="B18" i="1422"/>
  <c r="C17" i="1422"/>
  <c r="B17" i="1422"/>
  <c r="E17" i="1422" s="1"/>
  <c r="E16" i="1422"/>
  <c r="D13" i="1422"/>
  <c r="C13" i="1422"/>
  <c r="B13" i="1422"/>
  <c r="E12" i="1422"/>
  <c r="E11" i="1422"/>
  <c r="E10" i="1422"/>
  <c r="E9" i="1422"/>
  <c r="E8" i="1422"/>
  <c r="E7" i="1422"/>
  <c r="E6" i="1422"/>
  <c r="E13" i="1422" s="1"/>
  <c r="D45" i="1421"/>
  <c r="C44" i="1421"/>
  <c r="B44" i="1421"/>
  <c r="E44" i="1421" s="1"/>
  <c r="E43" i="1421"/>
  <c r="E42" i="1421"/>
  <c r="E41" i="1421"/>
  <c r="C40" i="1421"/>
  <c r="B40" i="1421"/>
  <c r="E40" i="1421" s="1"/>
  <c r="C39" i="1421"/>
  <c r="C45" i="1421" s="1"/>
  <c r="B39" i="1421"/>
  <c r="E39" i="1421" s="1"/>
  <c r="C38" i="1421"/>
  <c r="B38" i="1421"/>
  <c r="E38" i="1421" s="1"/>
  <c r="D37" i="1421"/>
  <c r="C37" i="1421"/>
  <c r="B37" i="1421"/>
  <c r="D35" i="1421"/>
  <c r="E34" i="1421"/>
  <c r="E33" i="1421"/>
  <c r="E32" i="1421"/>
  <c r="E31" i="1421"/>
  <c r="C30" i="1421"/>
  <c r="B30" i="1421"/>
  <c r="E30" i="1421" s="1"/>
  <c r="E29" i="1421"/>
  <c r="C28" i="1421"/>
  <c r="C35" i="1421" s="1"/>
  <c r="B28" i="1421"/>
  <c r="E28" i="1421" s="1"/>
  <c r="E35" i="1421" s="1"/>
  <c r="E27" i="1478"/>
  <c r="E25" i="1478"/>
  <c r="E24" i="1478"/>
  <c r="K14" i="1450"/>
  <c r="C14" i="1450"/>
  <c r="D14" i="1450" s="1"/>
  <c r="K13" i="1450"/>
  <c r="D13" i="1450"/>
  <c r="C13" i="1450"/>
  <c r="K12" i="1450"/>
  <c r="C12" i="1450"/>
  <c r="D12" i="1450" s="1"/>
  <c r="K11" i="1450"/>
  <c r="D11" i="1450"/>
  <c r="C11" i="1450"/>
  <c r="K10" i="1450"/>
  <c r="C10" i="1450"/>
  <c r="D10" i="1450" s="1"/>
  <c r="C53" i="1477"/>
  <c r="C47" i="1477"/>
  <c r="C59" i="1477" s="1"/>
  <c r="E58" i="1475" s="1"/>
  <c r="F58" i="1475" s="1"/>
  <c r="C39" i="1477"/>
  <c r="C32" i="1477"/>
  <c r="C27" i="1477"/>
  <c r="C21" i="1477"/>
  <c r="C9" i="1477"/>
  <c r="C38" i="1477" s="1"/>
  <c r="C53" i="1476"/>
  <c r="C49" i="1476"/>
  <c r="C48" i="1476"/>
  <c r="C47" i="1476" s="1"/>
  <c r="C39" i="1476"/>
  <c r="C32" i="1476"/>
  <c r="C27" i="1476"/>
  <c r="C21" i="1476"/>
  <c r="C9" i="1476"/>
  <c r="C38" i="1476" s="1"/>
  <c r="E61" i="1475"/>
  <c r="F61" i="1475" s="1"/>
  <c r="E60" i="1475"/>
  <c r="F60" i="1475" s="1"/>
  <c r="F57" i="1475"/>
  <c r="E57" i="1475"/>
  <c r="F56" i="1475"/>
  <c r="E56" i="1475"/>
  <c r="F55" i="1475"/>
  <c r="E55" i="1475"/>
  <c r="F54" i="1475"/>
  <c r="E54" i="1475"/>
  <c r="E53" i="1475"/>
  <c r="C53" i="1475"/>
  <c r="F53" i="1475" s="1"/>
  <c r="E52" i="1475"/>
  <c r="F52" i="1475" s="1"/>
  <c r="E51" i="1475"/>
  <c r="F51" i="1475" s="1"/>
  <c r="E50" i="1475"/>
  <c r="F50" i="1475" s="1"/>
  <c r="E49" i="1475"/>
  <c r="C49" i="1475"/>
  <c r="F49" i="1475" s="1"/>
  <c r="E48" i="1475"/>
  <c r="C48" i="1475"/>
  <c r="C47" i="1475" s="1"/>
  <c r="F46" i="1475"/>
  <c r="E46" i="1475"/>
  <c r="F45" i="1475"/>
  <c r="E45" i="1475"/>
  <c r="F44" i="1475"/>
  <c r="E44" i="1475"/>
  <c r="E41" i="1475"/>
  <c r="F41" i="1475" s="1"/>
  <c r="E40" i="1475"/>
  <c r="F40" i="1475" s="1"/>
  <c r="E39" i="1475"/>
  <c r="C39" i="1475"/>
  <c r="F39" i="1475" s="1"/>
  <c r="E36" i="1475"/>
  <c r="F36" i="1475" s="1"/>
  <c r="E35" i="1475"/>
  <c r="F35" i="1475" s="1"/>
  <c r="E34" i="1475"/>
  <c r="F34" i="1475" s="1"/>
  <c r="E33" i="1475"/>
  <c r="F33" i="1475" s="1"/>
  <c r="E32" i="1475"/>
  <c r="C32" i="1475"/>
  <c r="F32" i="1475" s="1"/>
  <c r="F31" i="1475"/>
  <c r="E31" i="1475"/>
  <c r="F30" i="1475"/>
  <c r="E30" i="1475"/>
  <c r="F29" i="1475"/>
  <c r="E29" i="1475"/>
  <c r="F28" i="1475"/>
  <c r="E28" i="1475"/>
  <c r="E27" i="1475"/>
  <c r="C27" i="1475"/>
  <c r="F27" i="1475" s="1"/>
  <c r="E26" i="1475"/>
  <c r="F26" i="1475" s="1"/>
  <c r="E25" i="1475"/>
  <c r="F25" i="1475" s="1"/>
  <c r="E24" i="1475"/>
  <c r="F24" i="1475" s="1"/>
  <c r="E23" i="1475"/>
  <c r="F23" i="1475" s="1"/>
  <c r="E22" i="1475"/>
  <c r="F22" i="1475" s="1"/>
  <c r="E21" i="1475"/>
  <c r="C21" i="1475"/>
  <c r="F21" i="1475" s="1"/>
  <c r="F20" i="1475"/>
  <c r="E20" i="1475"/>
  <c r="F19" i="1475"/>
  <c r="E19" i="1475"/>
  <c r="F18" i="1475"/>
  <c r="E18" i="1475"/>
  <c r="F17" i="1475"/>
  <c r="E17" i="1475"/>
  <c r="F16" i="1475"/>
  <c r="E16" i="1475"/>
  <c r="F15" i="1475"/>
  <c r="E15" i="1475"/>
  <c r="F14" i="1475"/>
  <c r="E14" i="1475"/>
  <c r="F13" i="1475"/>
  <c r="E13" i="1475"/>
  <c r="F12" i="1475"/>
  <c r="E12" i="1475"/>
  <c r="F11" i="1475"/>
  <c r="E11" i="1475"/>
  <c r="F10" i="1475"/>
  <c r="E10" i="1475"/>
  <c r="E9" i="1475"/>
  <c r="C9" i="1475"/>
  <c r="C38" i="1475" s="1"/>
  <c r="C53" i="1474"/>
  <c r="C47" i="1474"/>
  <c r="C59" i="1474" s="1"/>
  <c r="C39" i="1474"/>
  <c r="C32" i="1474"/>
  <c r="C27" i="1474"/>
  <c r="C21" i="1474"/>
  <c r="C9" i="1474"/>
  <c r="C38" i="1474" s="1"/>
  <c r="C43" i="1474" s="1"/>
  <c r="C53" i="1473"/>
  <c r="C50" i="1473"/>
  <c r="C49" i="1473"/>
  <c r="C48" i="1473"/>
  <c r="C47" i="1473"/>
  <c r="C59" i="1473" s="1"/>
  <c r="C39" i="1473"/>
  <c r="C32" i="1473"/>
  <c r="C27" i="1473"/>
  <c r="C21" i="1473"/>
  <c r="C9" i="1473"/>
  <c r="C38" i="1473" s="1"/>
  <c r="C43" i="1473" s="1"/>
  <c r="C53" i="1472"/>
  <c r="C47" i="1472"/>
  <c r="C59" i="1472" s="1"/>
  <c r="E59" i="1471" s="1"/>
  <c r="C39" i="1472"/>
  <c r="C32" i="1472"/>
  <c r="C27" i="1472"/>
  <c r="C21" i="1472"/>
  <c r="C9" i="1472"/>
  <c r="C38" i="1472" s="1"/>
  <c r="E64" i="1471"/>
  <c r="F64" i="1471" s="1"/>
  <c r="E63" i="1471"/>
  <c r="F63" i="1471" s="1"/>
  <c r="E61" i="1471"/>
  <c r="F61" i="1471" s="1"/>
  <c r="E60" i="1471"/>
  <c r="F60" i="1471" s="1"/>
  <c r="F58" i="1471"/>
  <c r="E58" i="1471"/>
  <c r="F57" i="1471"/>
  <c r="E57" i="1471"/>
  <c r="F56" i="1471"/>
  <c r="E56" i="1471"/>
  <c r="F55" i="1471"/>
  <c r="E55" i="1471"/>
  <c r="F54" i="1471"/>
  <c r="E54" i="1471"/>
  <c r="E53" i="1471"/>
  <c r="C53" i="1471"/>
  <c r="F53" i="1471" s="1"/>
  <c r="E52" i="1471"/>
  <c r="F52" i="1471" s="1"/>
  <c r="E51" i="1471"/>
  <c r="F51" i="1471" s="1"/>
  <c r="E50" i="1471"/>
  <c r="C50" i="1471"/>
  <c r="F50" i="1471" s="1"/>
  <c r="E49" i="1471"/>
  <c r="C49" i="1471"/>
  <c r="F49" i="1471" s="1"/>
  <c r="E48" i="1471"/>
  <c r="C48" i="1471"/>
  <c r="F48" i="1471" s="1"/>
  <c r="E47" i="1471"/>
  <c r="C47" i="1471"/>
  <c r="F47" i="1471" s="1"/>
  <c r="E46" i="1471"/>
  <c r="F46" i="1471" s="1"/>
  <c r="E45" i="1471"/>
  <c r="F45" i="1471" s="1"/>
  <c r="E44" i="1471"/>
  <c r="F44" i="1471" s="1"/>
  <c r="F42" i="1471"/>
  <c r="E42" i="1471"/>
  <c r="F41" i="1471"/>
  <c r="E41" i="1471"/>
  <c r="F40" i="1471"/>
  <c r="E40" i="1471"/>
  <c r="E39" i="1471"/>
  <c r="C39" i="1471"/>
  <c r="F39" i="1471" s="1"/>
  <c r="E37" i="1471"/>
  <c r="F37" i="1471" s="1"/>
  <c r="E36" i="1471"/>
  <c r="F36" i="1471" s="1"/>
  <c r="E35" i="1471"/>
  <c r="F35" i="1471" s="1"/>
  <c r="E34" i="1471"/>
  <c r="F34" i="1471" s="1"/>
  <c r="E33" i="1471"/>
  <c r="F33" i="1471" s="1"/>
  <c r="E32" i="1471"/>
  <c r="C32" i="1471"/>
  <c r="F32" i="1471" s="1"/>
  <c r="E31" i="1471"/>
  <c r="F31" i="1471" s="1"/>
  <c r="E30" i="1471"/>
  <c r="F30" i="1471" s="1"/>
  <c r="E29" i="1471"/>
  <c r="F29" i="1471" s="1"/>
  <c r="E28" i="1471"/>
  <c r="F28" i="1471" s="1"/>
  <c r="E27" i="1471"/>
  <c r="C27" i="1471"/>
  <c r="F27" i="1471" s="1"/>
  <c r="F26" i="1471"/>
  <c r="E26" i="1471"/>
  <c r="F25" i="1471"/>
  <c r="E25" i="1471"/>
  <c r="E24" i="1471"/>
  <c r="F24" i="1471" s="1"/>
  <c r="E23" i="1471"/>
  <c r="F23" i="1471" s="1"/>
  <c r="E22" i="1471"/>
  <c r="F22" i="1471" s="1"/>
  <c r="E21" i="1471"/>
  <c r="C21" i="1471"/>
  <c r="F21" i="1471" s="1"/>
  <c r="F20" i="1471"/>
  <c r="E20" i="1471"/>
  <c r="E19" i="1471"/>
  <c r="F19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C9" i="1471"/>
  <c r="C38" i="1471" s="1"/>
  <c r="C53" i="1470"/>
  <c r="C47" i="1470"/>
  <c r="C59" i="1470" s="1"/>
  <c r="C39" i="1470"/>
  <c r="C32" i="1470"/>
  <c r="C27" i="1470"/>
  <c r="C21" i="1470"/>
  <c r="C9" i="1470"/>
  <c r="C38" i="1470" s="1"/>
  <c r="C43" i="1470" s="1"/>
  <c r="C55" i="1469"/>
  <c r="C53" i="1469"/>
  <c r="C59" i="1469" s="1"/>
  <c r="E59" i="1468" s="1"/>
  <c r="C47" i="1469"/>
  <c r="C39" i="1469"/>
  <c r="C32" i="1469"/>
  <c r="C27" i="1469"/>
  <c r="C21" i="1469"/>
  <c r="C9" i="1469"/>
  <c r="C38" i="1469" s="1"/>
  <c r="E61" i="1468"/>
  <c r="F61" i="1468" s="1"/>
  <c r="E60" i="1468"/>
  <c r="F60" i="1468" s="1"/>
  <c r="F58" i="1468"/>
  <c r="E58" i="1468"/>
  <c r="F57" i="1468"/>
  <c r="E57" i="1468"/>
  <c r="F56" i="1468"/>
  <c r="E56" i="1468"/>
  <c r="E55" i="1468"/>
  <c r="C55" i="1468"/>
  <c r="F55" i="1468" s="1"/>
  <c r="E54" i="1468"/>
  <c r="F54" i="1468" s="1"/>
  <c r="E53" i="1468"/>
  <c r="C53" i="1468"/>
  <c r="F53" i="1468" s="1"/>
  <c r="F52" i="1468"/>
  <c r="E52" i="1468"/>
  <c r="F51" i="1468"/>
  <c r="E51" i="1468"/>
  <c r="E50" i="1468"/>
  <c r="F50" i="1468" s="1"/>
  <c r="E49" i="1468"/>
  <c r="F49" i="1468" s="1"/>
  <c r="E48" i="1468"/>
  <c r="F48" i="1468" s="1"/>
  <c r="E47" i="1468"/>
  <c r="C47" i="1468"/>
  <c r="C59" i="1468" s="1"/>
  <c r="F59" i="1468" s="1"/>
  <c r="E46" i="1468"/>
  <c r="F46" i="1468" s="1"/>
  <c r="F45" i="1468"/>
  <c r="E45" i="1468"/>
  <c r="F44" i="1468"/>
  <c r="E44" i="1468"/>
  <c r="E42" i="1468"/>
  <c r="F42" i="1468" s="1"/>
  <c r="E41" i="1468"/>
  <c r="F41" i="1468" s="1"/>
  <c r="E40" i="1468"/>
  <c r="F40" i="1468" s="1"/>
  <c r="E39" i="1468"/>
  <c r="C39" i="1468"/>
  <c r="F39" i="1468" s="1"/>
  <c r="E37" i="1468"/>
  <c r="F37" i="1468" s="1"/>
  <c r="E36" i="1468"/>
  <c r="F36" i="1468" s="1"/>
  <c r="E35" i="1468"/>
  <c r="F35" i="1468" s="1"/>
  <c r="E34" i="1468"/>
  <c r="F34" i="1468" s="1"/>
  <c r="E33" i="1468"/>
  <c r="F33" i="1468" s="1"/>
  <c r="E32" i="1468"/>
  <c r="C32" i="1468"/>
  <c r="F32" i="1468" s="1"/>
  <c r="F31" i="1468"/>
  <c r="E31" i="1468"/>
  <c r="F30" i="1468"/>
  <c r="E30" i="1468"/>
  <c r="F29" i="1468"/>
  <c r="E29" i="1468"/>
  <c r="F28" i="1468"/>
  <c r="E28" i="1468"/>
  <c r="E27" i="1468"/>
  <c r="C27" i="1468"/>
  <c r="F27" i="1468" s="1"/>
  <c r="E26" i="1468"/>
  <c r="F26" i="1468" s="1"/>
  <c r="E25" i="1468"/>
  <c r="F25" i="1468" s="1"/>
  <c r="E24" i="1468"/>
  <c r="F24" i="1468" s="1"/>
  <c r="E23" i="1468"/>
  <c r="F23" i="1468" s="1"/>
  <c r="E22" i="1468"/>
  <c r="F22" i="1468" s="1"/>
  <c r="E21" i="1468"/>
  <c r="C21" i="1468"/>
  <c r="F21" i="1468" s="1"/>
  <c r="F20" i="1468"/>
  <c r="E20" i="1468"/>
  <c r="F19" i="1468"/>
  <c r="E19" i="1468"/>
  <c r="F18" i="1468"/>
  <c r="E18" i="1468"/>
  <c r="F17" i="1468"/>
  <c r="E17" i="1468"/>
  <c r="F16" i="1468"/>
  <c r="E16" i="1468"/>
  <c r="F15" i="1468"/>
  <c r="E15" i="1468"/>
  <c r="F14" i="1468"/>
  <c r="E14" i="1468"/>
  <c r="F13" i="1468"/>
  <c r="E13" i="1468"/>
  <c r="F12" i="1468"/>
  <c r="E12" i="1468"/>
  <c r="F11" i="1468"/>
  <c r="E11" i="1468"/>
  <c r="F10" i="1468"/>
  <c r="E10" i="1468"/>
  <c r="E9" i="1468"/>
  <c r="C9" i="1468"/>
  <c r="C38" i="1468" s="1"/>
  <c r="C53" i="1467"/>
  <c r="C47" i="1467"/>
  <c r="C59" i="1467" s="1"/>
  <c r="C39" i="1467"/>
  <c r="C32" i="1467"/>
  <c r="C27" i="1467"/>
  <c r="C21" i="1467"/>
  <c r="C9" i="1467"/>
  <c r="C38" i="1467" s="1"/>
  <c r="C43" i="1467" s="1"/>
  <c r="C53" i="1466"/>
  <c r="C47" i="1466"/>
  <c r="C59" i="1466" s="1"/>
  <c r="E59" i="1465" s="1"/>
  <c r="C39" i="1466"/>
  <c r="C32" i="1466"/>
  <c r="C27" i="1466"/>
  <c r="C21" i="1466"/>
  <c r="C9" i="1466"/>
  <c r="C38" i="1466" s="1"/>
  <c r="C43" i="1466" s="1"/>
  <c r="E61" i="1465"/>
  <c r="F61" i="1465" s="1"/>
  <c r="E60" i="1465"/>
  <c r="F60" i="1465" s="1"/>
  <c r="F58" i="1465"/>
  <c r="E58" i="1465"/>
  <c r="F57" i="1465"/>
  <c r="E57" i="1465"/>
  <c r="F56" i="1465"/>
  <c r="E56" i="1465"/>
  <c r="F55" i="1465"/>
  <c r="E55" i="1465"/>
  <c r="F54" i="1465"/>
  <c r="E54" i="1465"/>
  <c r="E53" i="1465"/>
  <c r="C53" i="1465"/>
  <c r="F53" i="1465" s="1"/>
  <c r="E52" i="1465"/>
  <c r="F52" i="1465" s="1"/>
  <c r="E51" i="1465"/>
  <c r="F51" i="1465" s="1"/>
  <c r="E50" i="1465"/>
  <c r="F50" i="1465" s="1"/>
  <c r="E49" i="1465"/>
  <c r="C49" i="1465"/>
  <c r="F49" i="1465" s="1"/>
  <c r="E48" i="1465"/>
  <c r="C48" i="1465"/>
  <c r="F48" i="1465" s="1"/>
  <c r="E47" i="1465"/>
  <c r="C47" i="1465"/>
  <c r="E46" i="1465"/>
  <c r="F46" i="1465" s="1"/>
  <c r="E45" i="1465"/>
  <c r="F45" i="1465" s="1"/>
  <c r="E44" i="1465"/>
  <c r="F44" i="1465" s="1"/>
  <c r="E43" i="1465"/>
  <c r="F42" i="1465"/>
  <c r="E42" i="1465"/>
  <c r="F41" i="1465"/>
  <c r="E41" i="1465"/>
  <c r="F40" i="1465"/>
  <c r="E40" i="1465"/>
  <c r="E39" i="1465"/>
  <c r="C39" i="1465"/>
  <c r="F39" i="1465" s="1"/>
  <c r="E38" i="1465"/>
  <c r="F37" i="1465"/>
  <c r="E37" i="1465"/>
  <c r="F36" i="1465"/>
  <c r="E36" i="1465"/>
  <c r="F35" i="1465"/>
  <c r="E35" i="1465"/>
  <c r="F34" i="1465"/>
  <c r="E34" i="1465"/>
  <c r="F33" i="1465"/>
  <c r="E33" i="1465"/>
  <c r="E32" i="1465"/>
  <c r="C32" i="1465"/>
  <c r="F32" i="1465" s="1"/>
  <c r="E31" i="1465"/>
  <c r="F31" i="1465" s="1"/>
  <c r="E30" i="1465"/>
  <c r="F30" i="1465" s="1"/>
  <c r="E29" i="1465"/>
  <c r="F29" i="1465" s="1"/>
  <c r="E28" i="1465"/>
  <c r="F28" i="1465" s="1"/>
  <c r="E27" i="1465"/>
  <c r="C27" i="1465"/>
  <c r="F27" i="1465" s="1"/>
  <c r="F26" i="1465"/>
  <c r="E26" i="1465"/>
  <c r="F25" i="1465"/>
  <c r="E25" i="1465"/>
  <c r="F24" i="1465"/>
  <c r="E24" i="1465"/>
  <c r="F23" i="1465"/>
  <c r="E23" i="1465"/>
  <c r="F22" i="1465"/>
  <c r="E22" i="1465"/>
  <c r="E21" i="1465"/>
  <c r="C21" i="1465"/>
  <c r="F21" i="1465" s="1"/>
  <c r="E20" i="1465"/>
  <c r="F20" i="1465" s="1"/>
  <c r="E19" i="1465"/>
  <c r="F19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C9" i="1465"/>
  <c r="C38" i="1465" s="1"/>
  <c r="C53" i="1464"/>
  <c r="C47" i="1464"/>
  <c r="C59" i="1464" s="1"/>
  <c r="C39" i="1464"/>
  <c r="C32" i="1464"/>
  <c r="C27" i="1464"/>
  <c r="C21" i="1464"/>
  <c r="C9" i="1464"/>
  <c r="C38" i="1464" s="1"/>
  <c r="C43" i="1464" s="1"/>
  <c r="C53" i="1463"/>
  <c r="C50" i="1463"/>
  <c r="C49" i="1463"/>
  <c r="C48" i="1463"/>
  <c r="C47" i="1463" s="1"/>
  <c r="C42" i="1463"/>
  <c r="C39" i="1463"/>
  <c r="C32" i="1463"/>
  <c r="C27" i="1463"/>
  <c r="C21" i="1463"/>
  <c r="C9" i="1463"/>
  <c r="C38" i="1463" s="1"/>
  <c r="E60" i="1462"/>
  <c r="F60" i="1462" s="1"/>
  <c r="E59" i="1462"/>
  <c r="F59" i="1462" s="1"/>
  <c r="F57" i="1462"/>
  <c r="E57" i="1462"/>
  <c r="F56" i="1462"/>
  <c r="E56" i="1462"/>
  <c r="F55" i="1462"/>
  <c r="E55" i="1462"/>
  <c r="F54" i="1462"/>
  <c r="E54" i="1462"/>
  <c r="F53" i="1462"/>
  <c r="E53" i="1462"/>
  <c r="E52" i="1462"/>
  <c r="C52" i="1462"/>
  <c r="F52" i="1462" s="1"/>
  <c r="E51" i="1462"/>
  <c r="F51" i="1462" s="1"/>
  <c r="E50" i="1462"/>
  <c r="F50" i="1462" s="1"/>
  <c r="E49" i="1462"/>
  <c r="C49" i="1462"/>
  <c r="F49" i="1462" s="1"/>
  <c r="E48" i="1462"/>
  <c r="C48" i="1462"/>
  <c r="F48" i="1462" s="1"/>
  <c r="E47" i="1462"/>
  <c r="C47" i="1462"/>
  <c r="F47" i="1462" s="1"/>
  <c r="C46" i="1462"/>
  <c r="E45" i="1462"/>
  <c r="F45" i="1462" s="1"/>
  <c r="E44" i="1462"/>
  <c r="F44" i="1462" s="1"/>
  <c r="E43" i="1462"/>
  <c r="F43" i="1462" s="1"/>
  <c r="E41" i="1462"/>
  <c r="C41" i="1462"/>
  <c r="F41" i="1462" s="1"/>
  <c r="E40" i="1462"/>
  <c r="F40" i="1462" s="1"/>
  <c r="E39" i="1462"/>
  <c r="F39" i="1462" s="1"/>
  <c r="E38" i="1462"/>
  <c r="E36" i="1462"/>
  <c r="F36" i="1462" s="1"/>
  <c r="E35" i="1462"/>
  <c r="F35" i="1462" s="1"/>
  <c r="E34" i="1462"/>
  <c r="F34" i="1462" s="1"/>
  <c r="E33" i="1462"/>
  <c r="F33" i="1462" s="1"/>
  <c r="E32" i="1462"/>
  <c r="F32" i="1462" s="1"/>
  <c r="E31" i="1462"/>
  <c r="C31" i="1462"/>
  <c r="F31" i="1462" s="1"/>
  <c r="F30" i="1462"/>
  <c r="E30" i="1462"/>
  <c r="F29" i="1462"/>
  <c r="E29" i="1462"/>
  <c r="F28" i="1462"/>
  <c r="E28" i="1462"/>
  <c r="E27" i="1462"/>
  <c r="C27" i="1462"/>
  <c r="F27" i="1462" s="1"/>
  <c r="E26" i="1462"/>
  <c r="F26" i="1462" s="1"/>
  <c r="E25" i="1462"/>
  <c r="F25" i="1462" s="1"/>
  <c r="E24" i="1462"/>
  <c r="F24" i="1462" s="1"/>
  <c r="E23" i="1462"/>
  <c r="F23" i="1462" s="1"/>
  <c r="E22" i="1462"/>
  <c r="F22" i="1462" s="1"/>
  <c r="E21" i="1462"/>
  <c r="C21" i="1462"/>
  <c r="F21" i="1462" s="1"/>
  <c r="F20" i="1462"/>
  <c r="E20" i="1462"/>
  <c r="F19" i="1462"/>
  <c r="E19" i="1462"/>
  <c r="F18" i="1462"/>
  <c r="E18" i="1462"/>
  <c r="F17" i="1462"/>
  <c r="E17" i="1462"/>
  <c r="F16" i="1462"/>
  <c r="E16" i="1462"/>
  <c r="F15" i="1462"/>
  <c r="E15" i="1462"/>
  <c r="F14" i="1462"/>
  <c r="E14" i="1462"/>
  <c r="F13" i="1462"/>
  <c r="E13" i="1462"/>
  <c r="F12" i="1462"/>
  <c r="E12" i="1462"/>
  <c r="F11" i="1462"/>
  <c r="E11" i="1462"/>
  <c r="F10" i="1462"/>
  <c r="E10" i="1462"/>
  <c r="E9" i="1462"/>
  <c r="C9" i="1462"/>
  <c r="C37" i="1462" s="1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E35" i="1461" s="1"/>
  <c r="G34" i="1419"/>
  <c r="G48" i="1419"/>
  <c r="F45" i="1419"/>
  <c r="B45" i="1419"/>
  <c r="F44" i="1419"/>
  <c r="B44" i="1419"/>
  <c r="G43" i="1419"/>
  <c r="F152" i="1359"/>
  <c r="F147" i="1359"/>
  <c r="F140" i="1359"/>
  <c r="F136" i="1359"/>
  <c r="F160" i="1359" s="1"/>
  <c r="F122" i="1359"/>
  <c r="F121" i="1359"/>
  <c r="F105" i="1359"/>
  <c r="F103" i="1359"/>
  <c r="F102" i="1359"/>
  <c r="F101" i="1359"/>
  <c r="F100" i="1359" s="1"/>
  <c r="F135" i="1359" s="1"/>
  <c r="F161" i="1359" s="1"/>
  <c r="F86" i="1359"/>
  <c r="F82" i="1359"/>
  <c r="F79" i="1359"/>
  <c r="F74" i="1359"/>
  <c r="F70" i="1359"/>
  <c r="F93" i="1359" s="1"/>
  <c r="F64" i="1359"/>
  <c r="F59" i="1359"/>
  <c r="F53" i="1359"/>
  <c r="F47" i="1359"/>
  <c r="F43" i="1359"/>
  <c r="F41" i="1359" s="1"/>
  <c r="F35" i="1359"/>
  <c r="F34" i="1359" s="1"/>
  <c r="F32" i="1359"/>
  <c r="F27" i="1359"/>
  <c r="F25" i="1359"/>
  <c r="F20" i="1359" s="1"/>
  <c r="F11" i="1359"/>
  <c r="F69" i="1359" s="1"/>
  <c r="F152" i="1358"/>
  <c r="F147" i="1358"/>
  <c r="F140" i="1358"/>
  <c r="F136" i="1358"/>
  <c r="F160" i="1358" s="1"/>
  <c r="F122" i="1358"/>
  <c r="F121" i="1358" s="1"/>
  <c r="F105" i="1358"/>
  <c r="F103" i="1358"/>
  <c r="F102" i="1358"/>
  <c r="F101" i="1358"/>
  <c r="F100" i="1358"/>
  <c r="F86" i="1358"/>
  <c r="F82" i="1358"/>
  <c r="F80" i="1358"/>
  <c r="F79" i="1358"/>
  <c r="F74" i="1358"/>
  <c r="F70" i="1358"/>
  <c r="F93" i="1358" s="1"/>
  <c r="F64" i="1358"/>
  <c r="F59" i="1358"/>
  <c r="F53" i="1358"/>
  <c r="F48" i="1358"/>
  <c r="F47" i="1358"/>
  <c r="F46" i="1358"/>
  <c r="F44" i="1358"/>
  <c r="F43" i="1358"/>
  <c r="F41" i="1358"/>
  <c r="F35" i="1358"/>
  <c r="F34" i="1358"/>
  <c r="F27" i="1358"/>
  <c r="F20" i="1358"/>
  <c r="F11" i="1358"/>
  <c r="F69" i="1358" s="1"/>
  <c r="F94" i="1358" s="1"/>
  <c r="F161" i="1357"/>
  <c r="F152" i="1357"/>
  <c r="F147" i="1357"/>
  <c r="F140" i="1357"/>
  <c r="F136" i="1357"/>
  <c r="F160" i="1357" s="1"/>
  <c r="F126" i="1357"/>
  <c r="F124" i="1357"/>
  <c r="F121" i="1357" s="1"/>
  <c r="F122" i="1357"/>
  <c r="F118" i="1357"/>
  <c r="F105" i="1357"/>
  <c r="F103" i="1357"/>
  <c r="F102" i="1357"/>
  <c r="F101" i="1357"/>
  <c r="F100" i="1357"/>
  <c r="F135" i="1357" s="1"/>
  <c r="F86" i="1357"/>
  <c r="F82" i="1357"/>
  <c r="F80" i="1357"/>
  <c r="F79" i="1357"/>
  <c r="F74" i="1357"/>
  <c r="F70" i="1357"/>
  <c r="F93" i="1357" s="1"/>
  <c r="F64" i="1357"/>
  <c r="F59" i="1357"/>
  <c r="F53" i="1357"/>
  <c r="F48" i="1357"/>
  <c r="F47" i="1357"/>
  <c r="F46" i="1357"/>
  <c r="F44" i="1357"/>
  <c r="F43" i="1357"/>
  <c r="F41" i="1357"/>
  <c r="F35" i="1357"/>
  <c r="F34" i="1357"/>
  <c r="F32" i="1357"/>
  <c r="F27" i="1357" s="1"/>
  <c r="F25" i="1357"/>
  <c r="F20" i="1357"/>
  <c r="F14" i="1357"/>
  <c r="F11" i="1357"/>
  <c r="E45" i="1461" l="1"/>
  <c r="E42" i="1424"/>
  <c r="E23" i="1424"/>
  <c r="B13" i="1424"/>
  <c r="E13" i="1424" s="1"/>
  <c r="E16" i="1424"/>
  <c r="B23" i="1422"/>
  <c r="E18" i="1422"/>
  <c r="E23" i="1422" s="1"/>
  <c r="E45" i="1421"/>
  <c r="B35" i="1421"/>
  <c r="B45" i="1421"/>
  <c r="C43" i="1465"/>
  <c r="F43" i="1465" s="1"/>
  <c r="F38" i="1465"/>
  <c r="C43" i="1463"/>
  <c r="E42" i="1462" s="1"/>
  <c r="E37" i="1462"/>
  <c r="F37" i="1462" s="1"/>
  <c r="C59" i="1463"/>
  <c r="E58" i="1462" s="1"/>
  <c r="E46" i="1462"/>
  <c r="F46" i="1462" s="1"/>
  <c r="C38" i="1462"/>
  <c r="F38" i="1462" s="1"/>
  <c r="C58" i="1462"/>
  <c r="F58" i="1462" s="1"/>
  <c r="F9" i="1465"/>
  <c r="C43" i="1468"/>
  <c r="C43" i="1471"/>
  <c r="E38" i="1471"/>
  <c r="F38" i="1471" s="1"/>
  <c r="C43" i="1472"/>
  <c r="E43" i="1471" s="1"/>
  <c r="C59" i="1475"/>
  <c r="C43" i="1476"/>
  <c r="E43" i="1475" s="1"/>
  <c r="E38" i="1475"/>
  <c r="F9" i="1462"/>
  <c r="C59" i="1465"/>
  <c r="F59" i="1465" s="1"/>
  <c r="F47" i="1465"/>
  <c r="C43" i="1469"/>
  <c r="E43" i="1468" s="1"/>
  <c r="E38" i="1468"/>
  <c r="F38" i="1468" s="1"/>
  <c r="C43" i="1475"/>
  <c r="F43" i="1475" s="1"/>
  <c r="F38" i="1475"/>
  <c r="C59" i="1476"/>
  <c r="E59" i="1475" s="1"/>
  <c r="E47" i="1475"/>
  <c r="F47" i="1475" s="1"/>
  <c r="C43" i="1477"/>
  <c r="E42" i="1475" s="1"/>
  <c r="F42" i="1475" s="1"/>
  <c r="E37" i="1475"/>
  <c r="F37" i="1475" s="1"/>
  <c r="F47" i="1468"/>
  <c r="F9" i="1471"/>
  <c r="C59" i="1471"/>
  <c r="F59" i="1471" s="1"/>
  <c r="F9" i="1475"/>
  <c r="F48" i="1475"/>
  <c r="F9" i="1468"/>
  <c r="F94" i="1359"/>
  <c r="F135" i="1358"/>
  <c r="F161" i="1358" s="1"/>
  <c r="F69" i="1357"/>
  <c r="F94" i="1357" s="1"/>
  <c r="C42" i="1462" l="1"/>
  <c r="F42" i="1462" s="1"/>
  <c r="F59" i="1475"/>
  <c r="F43" i="1471"/>
  <c r="F43" i="1468"/>
  <c r="G15" i="1455" l="1"/>
  <c r="N15" i="1455"/>
  <c r="I13" i="1455"/>
  <c r="D9" i="1455"/>
  <c r="D8" i="1455"/>
  <c r="E8" i="1455"/>
  <c r="C9" i="1455"/>
  <c r="E9" i="1455"/>
  <c r="I8" i="1455"/>
  <c r="M8" i="1455"/>
  <c r="L8" i="1455"/>
  <c r="H8" i="1455"/>
  <c r="L59" i="1458"/>
  <c r="E56" i="1458"/>
  <c r="C50" i="1427"/>
  <c r="C50" i="1428"/>
  <c r="D52" i="1358"/>
  <c r="D52" i="1357"/>
  <c r="O15" i="1458"/>
  <c r="H15" i="1458"/>
  <c r="D12" i="1458"/>
  <c r="D28" i="1457"/>
  <c r="D28" i="1453" l="1"/>
  <c r="D58" i="1452"/>
  <c r="D63" i="1452"/>
  <c r="D9" i="1452"/>
  <c r="D12" i="1452"/>
  <c r="D125" i="1452"/>
  <c r="C151" i="1452"/>
  <c r="C146" i="1452"/>
  <c r="C139" i="1452"/>
  <c r="C135" i="1452"/>
  <c r="C159" i="1452" s="1"/>
  <c r="C160" i="1452" s="1"/>
  <c r="C125" i="1452"/>
  <c r="C120" i="1452"/>
  <c r="C134" i="1452" s="1"/>
  <c r="C104" i="1452"/>
  <c r="C99" i="1452"/>
  <c r="C85" i="1452"/>
  <c r="C92" i="1452" s="1"/>
  <c r="C81" i="1452"/>
  <c r="C78" i="1452"/>
  <c r="C73" i="1452"/>
  <c r="C69" i="1452"/>
  <c r="C63" i="1452"/>
  <c r="C58" i="1452"/>
  <c r="C52" i="1452"/>
  <c r="C40" i="1452"/>
  <c r="C33" i="1452"/>
  <c r="C32" i="1452"/>
  <c r="C25" i="1452"/>
  <c r="C24" i="1452"/>
  <c r="C18" i="1452"/>
  <c r="C9" i="1452"/>
  <c r="C68" i="1452" s="1"/>
  <c r="E37" i="1452"/>
  <c r="I37" i="1452"/>
  <c r="C93" i="1452" l="1"/>
  <c r="D33" i="1451"/>
  <c r="J15" i="1450"/>
  <c r="G15" i="1450"/>
  <c r="F15" i="1450"/>
  <c r="E15" i="1450"/>
  <c r="B15" i="1450"/>
  <c r="C147" i="1429"/>
  <c r="C142" i="1429"/>
  <c r="C135" i="1429"/>
  <c r="C131" i="1429"/>
  <c r="C155" i="1429" s="1"/>
  <c r="C116" i="1429"/>
  <c r="C100" i="1429"/>
  <c r="C95" i="1429" s="1"/>
  <c r="C130" i="1429" s="1"/>
  <c r="C156" i="1429" s="1"/>
  <c r="C68" i="1429"/>
  <c r="C62" i="1429"/>
  <c r="C57" i="1429"/>
  <c r="C51" i="1429"/>
  <c r="C39" i="1429"/>
  <c r="C33" i="1429"/>
  <c r="C32" i="1429"/>
  <c r="C25" i="1429"/>
  <c r="C23" i="1429"/>
  <c r="C18" i="1429"/>
  <c r="C12" i="1429"/>
  <c r="C9" i="1429"/>
  <c r="C67" i="1429" s="1"/>
  <c r="D11" i="1359"/>
  <c r="D69" i="1359" s="1"/>
  <c r="D14" i="1359"/>
  <c r="D20" i="1359"/>
  <c r="D25" i="1359"/>
  <c r="D27" i="1359"/>
  <c r="D35" i="1359"/>
  <c r="D34" i="1359" s="1"/>
  <c r="D41" i="1359"/>
  <c r="D53" i="1359"/>
  <c r="D59" i="1359"/>
  <c r="D64" i="1359"/>
  <c r="D70" i="1359"/>
  <c r="C147" i="1428"/>
  <c r="C142" i="1428"/>
  <c r="C135" i="1428"/>
  <c r="C131" i="1428"/>
  <c r="C155" i="1428" s="1"/>
  <c r="C121" i="1428"/>
  <c r="C120" i="1428"/>
  <c r="C116" i="1428"/>
  <c r="C113" i="1428"/>
  <c r="C100" i="1428"/>
  <c r="C84" i="1428"/>
  <c r="C80" i="1428"/>
  <c r="C77" i="1428"/>
  <c r="C72" i="1428"/>
  <c r="C68" i="1428"/>
  <c r="C91" i="1428" s="1"/>
  <c r="C62" i="1428"/>
  <c r="C57" i="1428"/>
  <c r="C51" i="1428"/>
  <c r="C39" i="1428"/>
  <c r="C38" i="1428"/>
  <c r="C35" i="1428"/>
  <c r="C34" i="1428"/>
  <c r="C33" i="1428" s="1"/>
  <c r="C32" i="1428" s="1"/>
  <c r="C31" i="1428"/>
  <c r="C25" i="1428"/>
  <c r="C24" i="1428"/>
  <c r="C18" i="1428"/>
  <c r="C12" i="1428"/>
  <c r="C9" i="1428"/>
  <c r="C67" i="1428" s="1"/>
  <c r="C72" i="1429"/>
  <c r="C77" i="1429"/>
  <c r="C80" i="1429"/>
  <c r="C84" i="1429"/>
  <c r="C147" i="1427"/>
  <c r="C142" i="1427"/>
  <c r="C135" i="1427"/>
  <c r="C131" i="1427"/>
  <c r="C155" i="1427" s="1"/>
  <c r="C121" i="1427"/>
  <c r="C120" i="1427"/>
  <c r="C116" i="1427"/>
  <c r="C113" i="1427"/>
  <c r="C100" i="1427"/>
  <c r="C84" i="1427"/>
  <c r="C80" i="1427"/>
  <c r="C77" i="1427"/>
  <c r="C72" i="1427"/>
  <c r="C68" i="1427"/>
  <c r="C91" i="1427" s="1"/>
  <c r="C62" i="1427"/>
  <c r="C57" i="1427"/>
  <c r="C51" i="1427"/>
  <c r="C39" i="1427"/>
  <c r="C33" i="1427"/>
  <c r="C32" i="1427" s="1"/>
  <c r="C31" i="1427"/>
  <c r="C25" i="1427"/>
  <c r="C24" i="1427"/>
  <c r="C18" i="1427"/>
  <c r="C12" i="1427"/>
  <c r="C9" i="1427" s="1"/>
  <c r="C67" i="1427" s="1"/>
  <c r="C92" i="1427" s="1"/>
  <c r="C95" i="1427" l="1"/>
  <c r="C130" i="1427" s="1"/>
  <c r="C156" i="1427" s="1"/>
  <c r="C95" i="1428"/>
  <c r="C130" i="1428" s="1"/>
  <c r="C156" i="1428" s="1"/>
  <c r="C91" i="1429"/>
  <c r="C92" i="1428"/>
  <c r="C92" i="1429"/>
  <c r="D32" i="1427"/>
  <c r="D125" i="1358"/>
  <c r="D125" i="1357"/>
  <c r="D40" i="1358"/>
  <c r="D37" i="1358"/>
  <c r="D36" i="1358"/>
  <c r="D33" i="1358"/>
  <c r="D26" i="1358"/>
  <c r="E15" i="1420" l="1"/>
  <c r="B10" i="1420"/>
  <c r="E10" i="1420"/>
  <c r="D10" i="1420"/>
  <c r="D9" i="1419" l="1"/>
  <c r="F7" i="1419" l="1"/>
  <c r="D18" i="1419" l="1"/>
  <c r="D33" i="1357" l="1"/>
  <c r="D26" i="1357"/>
  <c r="D14" i="1357"/>
  <c r="D51" i="1456"/>
  <c r="D34" i="1456"/>
  <c r="D16" i="1456"/>
  <c r="D49" i="1456"/>
  <c r="D46" i="1456"/>
  <c r="D41" i="1456"/>
  <c r="D38" i="1456"/>
  <c r="D22" i="1456"/>
  <c r="D42" i="1456" l="1"/>
  <c r="A1" i="1459" l="1"/>
  <c r="A1" i="1458"/>
  <c r="A1" i="1457"/>
  <c r="A1" i="1456"/>
  <c r="A1" i="1455"/>
  <c r="A1" i="1454"/>
  <c r="A1" i="1453"/>
  <c r="A1" i="1452"/>
  <c r="A1" i="1451"/>
  <c r="A1" i="1450"/>
  <c r="A1" i="1433"/>
  <c r="A1" i="1432"/>
  <c r="A1" i="1431"/>
  <c r="A1" i="1430"/>
  <c r="A1" i="1429"/>
  <c r="A1" i="1428"/>
  <c r="A1" i="1427"/>
  <c r="A1" i="1461"/>
  <c r="A1" i="1426"/>
  <c r="A1" i="1425"/>
  <c r="A1" i="1423"/>
  <c r="B17" i="1421" l="1"/>
  <c r="A1" i="1424" l="1"/>
  <c r="A1" i="1422"/>
  <c r="A1" i="1421" l="1"/>
  <c r="A1" i="1420"/>
  <c r="A1" i="1419"/>
  <c r="A1" i="1418"/>
  <c r="A1" i="1417"/>
  <c r="A1" i="1416"/>
  <c r="F1" i="1362"/>
  <c r="F1" i="1361"/>
  <c r="A1" i="1399"/>
  <c r="A1" i="1360"/>
  <c r="A1" i="1359"/>
  <c r="A1" i="1358"/>
  <c r="A1" i="1357"/>
  <c r="C27" i="1416"/>
  <c r="D27" i="1416"/>
  <c r="E27" i="1416"/>
  <c r="F27" i="1416"/>
  <c r="G27" i="1416"/>
  <c r="C34" i="1399" l="1"/>
  <c r="C34" i="1360"/>
  <c r="E34" i="1359"/>
  <c r="E34" i="1358"/>
  <c r="E34" i="1357" l="1"/>
  <c r="D126" i="1357"/>
  <c r="O45" i="1458" l="1"/>
  <c r="H45" i="1458"/>
  <c r="O37" i="1458"/>
  <c r="H37" i="1458"/>
  <c r="B15" i="1420"/>
  <c r="F15" i="1420" s="1"/>
  <c r="G41" i="1419"/>
  <c r="G40" i="1419"/>
  <c r="G39" i="1419"/>
  <c r="G37" i="1419"/>
  <c r="G36" i="1419"/>
  <c r="G32" i="1419"/>
  <c r="G30" i="1419"/>
  <c r="G29" i="1419"/>
  <c r="G26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28" i="1419" l="1"/>
  <c r="F16" i="1420" l="1"/>
  <c r="F14" i="1420"/>
  <c r="E23" i="1419"/>
  <c r="E7" i="1419" s="1"/>
  <c r="E50" i="1419" l="1"/>
  <c r="G23" i="1419"/>
  <c r="D41" i="1357" l="1"/>
  <c r="G38" i="1419" l="1"/>
  <c r="O49" i="1458"/>
  <c r="H49" i="1458"/>
  <c r="D22" i="1457"/>
  <c r="G28" i="1453"/>
  <c r="F28" i="1453"/>
  <c r="E28" i="1453"/>
  <c r="I26" i="1453"/>
  <c r="D7" i="1419"/>
  <c r="B10" i="1419"/>
  <c r="G10" i="1419" s="1"/>
  <c r="H26" i="1416"/>
  <c r="H25" i="1416"/>
  <c r="H27" i="1416" s="1"/>
  <c r="H28" i="1453" l="1"/>
  <c r="F42" i="1419" l="1"/>
  <c r="B42" i="1419" l="1"/>
  <c r="O9" i="1455" l="1"/>
  <c r="N16" i="1455"/>
  <c r="M16" i="1455"/>
  <c r="L16" i="1455"/>
  <c r="J16" i="1455"/>
  <c r="C39" i="1433"/>
  <c r="D50" i="1430"/>
  <c r="E50" i="1430" s="1"/>
  <c r="D49" i="1430"/>
  <c r="F16" i="1450"/>
  <c r="D15" i="1427"/>
  <c r="D117" i="1427"/>
  <c r="F117" i="1427" s="1"/>
  <c r="D107" i="1427"/>
  <c r="D11" i="1427"/>
  <c r="D14" i="1427"/>
  <c r="D10" i="1427"/>
  <c r="F12" i="1420"/>
  <c r="D21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O59" i="1458"/>
  <c r="N58" i="1458"/>
  <c r="N60" i="1458" s="1"/>
  <c r="M58" i="1458"/>
  <c r="M60" i="1458" s="1"/>
  <c r="L58" i="1458"/>
  <c r="F58" i="1458"/>
  <c r="F60" i="1458" s="1"/>
  <c r="O57" i="1458"/>
  <c r="H57" i="1458"/>
  <c r="O56" i="1458"/>
  <c r="O54" i="1458"/>
  <c r="H54" i="1458"/>
  <c r="O53" i="1458"/>
  <c r="H53" i="1458"/>
  <c r="O52" i="1458"/>
  <c r="H52" i="1458"/>
  <c r="O51" i="1458"/>
  <c r="H51" i="1458"/>
  <c r="O47" i="1458"/>
  <c r="H47" i="1458"/>
  <c r="O46" i="1458"/>
  <c r="H46" i="1458"/>
  <c r="O44" i="1458"/>
  <c r="H44" i="1458"/>
  <c r="O42" i="1458"/>
  <c r="H42" i="1458"/>
  <c r="H41" i="1458"/>
  <c r="O40" i="1458"/>
  <c r="H40" i="1458"/>
  <c r="O39" i="1458"/>
  <c r="H39" i="1458"/>
  <c r="O38" i="1458"/>
  <c r="H38" i="1458"/>
  <c r="O36" i="1458"/>
  <c r="H36" i="1458"/>
  <c r="O34" i="1458"/>
  <c r="H34" i="1458"/>
  <c r="O33" i="1458"/>
  <c r="H33" i="1458"/>
  <c r="O32" i="1458"/>
  <c r="H32" i="1458"/>
  <c r="H31" i="1458"/>
  <c r="O29" i="1458"/>
  <c r="H29" i="1458"/>
  <c r="O28" i="1458"/>
  <c r="H28" i="1458"/>
  <c r="O27" i="1458"/>
  <c r="H27" i="1458"/>
  <c r="O26" i="1458"/>
  <c r="H26" i="1458"/>
  <c r="O24" i="1458"/>
  <c r="H24" i="1458"/>
  <c r="K58" i="1458"/>
  <c r="K60" i="1458" s="1"/>
  <c r="H23" i="1458"/>
  <c r="O22" i="1458"/>
  <c r="H22" i="1458"/>
  <c r="O21" i="1458"/>
  <c r="H21" i="1458"/>
  <c r="H20" i="1458"/>
  <c r="O19" i="1458"/>
  <c r="H19" i="1458"/>
  <c r="O18" i="1458"/>
  <c r="H18" i="1458"/>
  <c r="O16" i="1458"/>
  <c r="G58" i="1458"/>
  <c r="G60" i="1458" s="1"/>
  <c r="H14" i="1458"/>
  <c r="O13" i="1458"/>
  <c r="I13" i="1458"/>
  <c r="I58" i="1458" s="1"/>
  <c r="I60" i="1458" s="1"/>
  <c r="I61" i="1458" s="1"/>
  <c r="H13" i="1458"/>
  <c r="O12" i="1458"/>
  <c r="D58" i="1458"/>
  <c r="D60" i="1458" s="1"/>
  <c r="O11" i="1458"/>
  <c r="H11" i="1458"/>
  <c r="O10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I148" i="1452"/>
  <c r="I146" i="1452" s="1"/>
  <c r="K146" i="1452"/>
  <c r="J146" i="1452"/>
  <c r="G146" i="1452"/>
  <c r="F146" i="1452"/>
  <c r="E146" i="1452"/>
  <c r="D146" i="1452"/>
  <c r="K139" i="1452"/>
  <c r="J139" i="1452"/>
  <c r="I139" i="1452"/>
  <c r="G139" i="1452"/>
  <c r="F139" i="1452"/>
  <c r="E139" i="1452"/>
  <c r="D139" i="1452"/>
  <c r="I136" i="1452"/>
  <c r="I135" i="1452" s="1"/>
  <c r="K135" i="1452"/>
  <c r="J135" i="1452"/>
  <c r="D135" i="1452"/>
  <c r="I133" i="1452"/>
  <c r="J125" i="1452"/>
  <c r="I125" i="1452"/>
  <c r="D120" i="1452"/>
  <c r="I124" i="1452"/>
  <c r="I123" i="1452"/>
  <c r="I122" i="1452"/>
  <c r="K121" i="1452"/>
  <c r="K120" i="1452" s="1"/>
  <c r="J121" i="1452"/>
  <c r="I121" i="1452"/>
  <c r="I120" i="1452" s="1"/>
  <c r="J120" i="1452"/>
  <c r="I119" i="1452"/>
  <c r="J117" i="1452"/>
  <c r="I117" i="1452"/>
  <c r="I116" i="1452"/>
  <c r="I111" i="1452"/>
  <c r="J104" i="1452"/>
  <c r="G104" i="1452"/>
  <c r="F104" i="1452"/>
  <c r="E104" i="1452"/>
  <c r="D104" i="1452"/>
  <c r="I103" i="1452"/>
  <c r="K102" i="1452"/>
  <c r="J102" i="1452"/>
  <c r="I102" i="1452"/>
  <c r="K101" i="1452"/>
  <c r="J101" i="1452"/>
  <c r="I101" i="1452"/>
  <c r="K100" i="1452"/>
  <c r="J100" i="1452"/>
  <c r="I100" i="1452"/>
  <c r="D99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K81" i="1452"/>
  <c r="J81" i="1452"/>
  <c r="I81" i="1452"/>
  <c r="G81" i="1452"/>
  <c r="F81" i="1452"/>
  <c r="E81" i="1452"/>
  <c r="D81" i="1452"/>
  <c r="K79" i="1452"/>
  <c r="K78" i="1452" s="1"/>
  <c r="J79" i="1452"/>
  <c r="I79" i="1452"/>
  <c r="I78" i="1452" s="1"/>
  <c r="J78" i="1452"/>
  <c r="G78" i="1452"/>
  <c r="F78" i="1452"/>
  <c r="E78" i="1452"/>
  <c r="D78" i="1452"/>
  <c r="K73" i="1452"/>
  <c r="J73" i="1452"/>
  <c r="I73" i="1452"/>
  <c r="G73" i="1452"/>
  <c r="F73" i="1452"/>
  <c r="E73" i="1452"/>
  <c r="D73" i="1452"/>
  <c r="I70" i="1452"/>
  <c r="I69" i="1452" s="1"/>
  <c r="K69" i="1452"/>
  <c r="J69" i="1452"/>
  <c r="G69" i="1452"/>
  <c r="F69" i="1452"/>
  <c r="E69" i="1452"/>
  <c r="D69" i="1452"/>
  <c r="K63" i="1452"/>
  <c r="J63" i="1452"/>
  <c r="I63" i="1452"/>
  <c r="G63" i="1452"/>
  <c r="F63" i="1452"/>
  <c r="E63" i="1452"/>
  <c r="I61" i="1452"/>
  <c r="E61" i="1452"/>
  <c r="I60" i="1452"/>
  <c r="E60" i="1452"/>
  <c r="K58" i="1452"/>
  <c r="J58" i="1452"/>
  <c r="G58" i="1452"/>
  <c r="F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I39" i="1452"/>
  <c r="I35" i="1452"/>
  <c r="E35" i="1452"/>
  <c r="I34" i="1452"/>
  <c r="E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I24" i="1452"/>
  <c r="I23" i="1452"/>
  <c r="E23" i="1452"/>
  <c r="K18" i="1452"/>
  <c r="J18" i="1452"/>
  <c r="I18" i="1452"/>
  <c r="G18" i="1452"/>
  <c r="F18" i="1452"/>
  <c r="E18" i="1452"/>
  <c r="D18" i="1452"/>
  <c r="I16" i="1452"/>
  <c r="E16" i="1452"/>
  <c r="I15" i="1452"/>
  <c r="E15" i="1452"/>
  <c r="I12" i="1452"/>
  <c r="I9" i="1452" s="1"/>
  <c r="E12" i="1452"/>
  <c r="E9" i="1452" s="1"/>
  <c r="K9" i="1452"/>
  <c r="J9" i="1452"/>
  <c r="G9" i="1452"/>
  <c r="F9" i="1452"/>
  <c r="I16" i="1450"/>
  <c r="H16" i="1450"/>
  <c r="J16" i="1450"/>
  <c r="G16" i="1450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C53" i="1431"/>
  <c r="C39" i="1431"/>
  <c r="C32" i="1431"/>
  <c r="C27" i="1431"/>
  <c r="C21" i="1431"/>
  <c r="C9" i="1431"/>
  <c r="D61" i="1430"/>
  <c r="C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D118" i="1427"/>
  <c r="E118" i="1427" s="1"/>
  <c r="D66" i="1427"/>
  <c r="D45" i="1427"/>
  <c r="F45" i="1427" s="1"/>
  <c r="D120" i="1427"/>
  <c r="D113" i="1427"/>
  <c r="D84" i="1427"/>
  <c r="D80" i="1427"/>
  <c r="D72" i="1427"/>
  <c r="D68" i="1427"/>
  <c r="D51" i="1427"/>
  <c r="D16" i="1427"/>
  <c r="D159" i="1427"/>
  <c r="F159" i="1427" s="1"/>
  <c r="D158" i="1427"/>
  <c r="E158" i="1427" s="1"/>
  <c r="D157" i="1427"/>
  <c r="F157" i="1427" s="1"/>
  <c r="D154" i="1427"/>
  <c r="E154" i="1427" s="1"/>
  <c r="D153" i="1427"/>
  <c r="F153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6" i="1427"/>
  <c r="F146" i="1427" s="1"/>
  <c r="D145" i="1427"/>
  <c r="E145" i="1427" s="1"/>
  <c r="D143" i="1427"/>
  <c r="F143" i="1427" s="1"/>
  <c r="D141" i="1427"/>
  <c r="E141" i="1427" s="1"/>
  <c r="D140" i="1427"/>
  <c r="F140" i="1427" s="1"/>
  <c r="D139" i="1427"/>
  <c r="E139" i="1427" s="1"/>
  <c r="D138" i="1427"/>
  <c r="F138" i="1427" s="1"/>
  <c r="D137" i="1427"/>
  <c r="E137" i="1427" s="1"/>
  <c r="D136" i="1427"/>
  <c r="F136" i="1427" s="1"/>
  <c r="D134" i="1427"/>
  <c r="E134" i="1427" s="1"/>
  <c r="D133" i="1427"/>
  <c r="F133" i="1427" s="1"/>
  <c r="D132" i="1427"/>
  <c r="E132" i="1427" s="1"/>
  <c r="M62" i="1458"/>
  <c r="D129" i="1427"/>
  <c r="F129" i="1427" s="1"/>
  <c r="D128" i="1427"/>
  <c r="F128" i="1427" s="1"/>
  <c r="D127" i="1427"/>
  <c r="E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19" i="1427"/>
  <c r="D115" i="1427"/>
  <c r="F115" i="1427" s="1"/>
  <c r="D114" i="1427"/>
  <c r="F114" i="1427" s="1"/>
  <c r="N62" i="1458"/>
  <c r="D111" i="1427"/>
  <c r="E111" i="1427" s="1"/>
  <c r="D110" i="1427"/>
  <c r="F110" i="1427" s="1"/>
  <c r="D109" i="1427"/>
  <c r="E109" i="1427" s="1"/>
  <c r="D108" i="1427"/>
  <c r="F108" i="1427" s="1"/>
  <c r="D106" i="1427"/>
  <c r="F106" i="1427" s="1"/>
  <c r="D105" i="1427"/>
  <c r="E105" i="1427" s="1"/>
  <c r="D104" i="1427"/>
  <c r="F104" i="1427" s="1"/>
  <c r="D103" i="1427"/>
  <c r="E103" i="1427" s="1"/>
  <c r="D102" i="1427"/>
  <c r="F102" i="1427" s="1"/>
  <c r="D101" i="1427"/>
  <c r="D99" i="1427"/>
  <c r="E99" i="1427" s="1"/>
  <c r="D98" i="1427"/>
  <c r="F98" i="1427" s="1"/>
  <c r="D97" i="1427"/>
  <c r="F97" i="1427" s="1"/>
  <c r="D96" i="1427"/>
  <c r="F96" i="1427" s="1"/>
  <c r="D94" i="1427"/>
  <c r="F94" i="1427" s="1"/>
  <c r="D93" i="1427"/>
  <c r="F93" i="1427" s="1"/>
  <c r="D90" i="1427"/>
  <c r="F90" i="1427" s="1"/>
  <c r="D89" i="1427"/>
  <c r="E89" i="1427" s="1"/>
  <c r="D88" i="1427"/>
  <c r="F88" i="1427" s="1"/>
  <c r="D87" i="1427"/>
  <c r="E87" i="1427" s="1"/>
  <c r="D86" i="1427"/>
  <c r="F86" i="1427" s="1"/>
  <c r="D85" i="1427"/>
  <c r="E85" i="1427" s="1"/>
  <c r="D83" i="1427"/>
  <c r="F83" i="1427" s="1"/>
  <c r="D82" i="1427"/>
  <c r="E82" i="1427" s="1"/>
  <c r="D79" i="1427"/>
  <c r="F79" i="1427" s="1"/>
  <c r="D76" i="1427"/>
  <c r="E76" i="1427" s="1"/>
  <c r="D75" i="1427"/>
  <c r="F75" i="1427" s="1"/>
  <c r="D74" i="1427"/>
  <c r="E74" i="1427" s="1"/>
  <c r="D73" i="1427"/>
  <c r="F73" i="1427" s="1"/>
  <c r="D71" i="1427"/>
  <c r="E71" i="1427" s="1"/>
  <c r="D70" i="1427"/>
  <c r="F70" i="1427" s="1"/>
  <c r="D69" i="1427"/>
  <c r="E69" i="1427" s="1"/>
  <c r="F62" i="1458"/>
  <c r="D64" i="1427"/>
  <c r="E64" i="1427" s="1"/>
  <c r="D63" i="1427"/>
  <c r="F63" i="1427" s="1"/>
  <c r="D61" i="1427"/>
  <c r="E61" i="1427" s="1"/>
  <c r="D59" i="1427"/>
  <c r="D58" i="1427"/>
  <c r="F58" i="1427" s="1"/>
  <c r="D56" i="1427"/>
  <c r="E56" i="1427" s="1"/>
  <c r="D55" i="1427"/>
  <c r="F55" i="1427" s="1"/>
  <c r="D54" i="1427"/>
  <c r="E54" i="1427" s="1"/>
  <c r="D53" i="1427"/>
  <c r="F53" i="1427" s="1"/>
  <c r="D52" i="1427"/>
  <c r="E52" i="1427" s="1"/>
  <c r="D49" i="1427"/>
  <c r="F49" i="1427" s="1"/>
  <c r="D48" i="1427"/>
  <c r="E48" i="1427" s="1"/>
  <c r="D47" i="1427"/>
  <c r="F47" i="1427" s="1"/>
  <c r="D46" i="1427"/>
  <c r="E46" i="1427" s="1"/>
  <c r="D44" i="1427"/>
  <c r="F44" i="1427" s="1"/>
  <c r="D43" i="1427"/>
  <c r="E43" i="1427" s="1"/>
  <c r="D42" i="1427"/>
  <c r="D40" i="1427"/>
  <c r="F40" i="1427" s="1"/>
  <c r="D38" i="1427"/>
  <c r="E38" i="1427" s="1"/>
  <c r="D37" i="1427"/>
  <c r="F37" i="1427" s="1"/>
  <c r="D36" i="1427"/>
  <c r="E36" i="1427" s="1"/>
  <c r="D35" i="1427"/>
  <c r="F35" i="1427" s="1"/>
  <c r="D34" i="1427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D17" i="1427"/>
  <c r="F17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F13" i="1420"/>
  <c r="F11" i="1420"/>
  <c r="F9" i="1420"/>
  <c r="F8" i="1420"/>
  <c r="F47" i="1419"/>
  <c r="D47" i="1419"/>
  <c r="B47" i="1419"/>
  <c r="D42" i="1419"/>
  <c r="G42" i="1419" s="1"/>
  <c r="F35" i="1419"/>
  <c r="D35" i="1419"/>
  <c r="B35" i="1419"/>
  <c r="F33" i="1419"/>
  <c r="D33" i="1419"/>
  <c r="B33" i="1419"/>
  <c r="F31" i="1419"/>
  <c r="B31" i="1419"/>
  <c r="F27" i="1419"/>
  <c r="B27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G35" i="1419" l="1"/>
  <c r="G47" i="1419"/>
  <c r="B7" i="1419"/>
  <c r="G9" i="1419"/>
  <c r="G27" i="1419"/>
  <c r="G31" i="1419"/>
  <c r="G33" i="1419"/>
  <c r="D142" i="1427"/>
  <c r="D112" i="1427"/>
  <c r="F112" i="1427" s="1"/>
  <c r="F16" i="1455"/>
  <c r="D42" i="1430"/>
  <c r="E42" i="1430" s="1"/>
  <c r="F15" i="1427"/>
  <c r="E11" i="1427"/>
  <c r="B21" i="1420"/>
  <c r="D78" i="1427"/>
  <c r="F78" i="1427" s="1"/>
  <c r="D25" i="1427"/>
  <c r="E25" i="1427" s="1"/>
  <c r="C47" i="1431"/>
  <c r="C59" i="1431" s="1"/>
  <c r="C47" i="1433"/>
  <c r="C59" i="1433" s="1"/>
  <c r="E21" i="1420"/>
  <c r="D13" i="1427"/>
  <c r="F13" i="1427" s="1"/>
  <c r="D50" i="1427"/>
  <c r="F50" i="1427" s="1"/>
  <c r="D144" i="1427"/>
  <c r="F144" i="1427" s="1"/>
  <c r="D9" i="1427"/>
  <c r="D18" i="1427"/>
  <c r="F18" i="1427" s="1"/>
  <c r="D135" i="1427"/>
  <c r="E135" i="1427" s="1"/>
  <c r="D147" i="1427"/>
  <c r="F147" i="1427" s="1"/>
  <c r="D39" i="1427"/>
  <c r="D131" i="1427"/>
  <c r="E131" i="1427" s="1"/>
  <c r="C38" i="1431"/>
  <c r="C43" i="1431" s="1"/>
  <c r="D27" i="1430"/>
  <c r="E27" i="1430" s="1"/>
  <c r="D39" i="1430"/>
  <c r="E40" i="1452"/>
  <c r="J40" i="1452"/>
  <c r="J68" i="1452" s="1"/>
  <c r="E14" i="1427"/>
  <c r="E107" i="1427"/>
  <c r="D33" i="1427"/>
  <c r="F33" i="1427" s="1"/>
  <c r="F59" i="1427"/>
  <c r="F80" i="1427"/>
  <c r="D40" i="1430"/>
  <c r="E40" i="1430" s="1"/>
  <c r="O24" i="1455"/>
  <c r="J58" i="1458"/>
  <c r="J60" i="1458" s="1"/>
  <c r="B49" i="1419"/>
  <c r="E13" i="1421"/>
  <c r="F10" i="1427"/>
  <c r="D62" i="1458"/>
  <c r="D61" i="1458" s="1"/>
  <c r="E34" i="1427"/>
  <c r="D41" i="1427"/>
  <c r="E41" i="1427" s="1"/>
  <c r="D60" i="1427"/>
  <c r="F60" i="1427" s="1"/>
  <c r="D65" i="1427"/>
  <c r="E65" i="1427" s="1"/>
  <c r="E72" i="1427"/>
  <c r="D81" i="1427"/>
  <c r="F81" i="1427" s="1"/>
  <c r="F119" i="1427"/>
  <c r="D77" i="1427"/>
  <c r="D9" i="1430"/>
  <c r="E9" i="1430" s="1"/>
  <c r="D21" i="1430"/>
  <c r="E21" i="1430" s="1"/>
  <c r="D32" i="1430"/>
  <c r="E32" i="1430" s="1"/>
  <c r="C38" i="1432"/>
  <c r="C43" i="1432" s="1"/>
  <c r="F68" i="1452"/>
  <c r="I33" i="1452"/>
  <c r="I32" i="1452" s="1"/>
  <c r="I40" i="1452"/>
  <c r="K99" i="1452"/>
  <c r="K134" i="1452" s="1"/>
  <c r="J99" i="1452"/>
  <c r="J134" i="1452" s="1"/>
  <c r="J159" i="1452"/>
  <c r="G16" i="1455"/>
  <c r="O8" i="1455"/>
  <c r="O10" i="1455"/>
  <c r="I16" i="1455"/>
  <c r="O13" i="1455"/>
  <c r="O22" i="1455"/>
  <c r="E40" i="1459"/>
  <c r="I104" i="1452"/>
  <c r="I99" i="1452" s="1"/>
  <c r="I134" i="1452" s="1"/>
  <c r="F84" i="1427"/>
  <c r="E62" i="1458"/>
  <c r="E66" i="1427"/>
  <c r="E61" i="1430"/>
  <c r="K159" i="1452"/>
  <c r="F101" i="1427"/>
  <c r="F120" i="1427"/>
  <c r="E33" i="1452"/>
  <c r="E32" i="1452" s="1"/>
  <c r="J92" i="1452"/>
  <c r="E17" i="1421"/>
  <c r="E101" i="1427"/>
  <c r="E143" i="1427"/>
  <c r="D92" i="1452"/>
  <c r="I28" i="1453"/>
  <c r="D40" i="1459"/>
  <c r="E23" i="1421"/>
  <c r="E16" i="1427"/>
  <c r="E22" i="1427"/>
  <c r="E28" i="1427"/>
  <c r="E78" i="1427"/>
  <c r="D36" i="1451"/>
  <c r="D38" i="1451" s="1"/>
  <c r="O11" i="1455"/>
  <c r="E28" i="1455"/>
  <c r="G28" i="1455"/>
  <c r="O20" i="1455"/>
  <c r="O26" i="1455"/>
  <c r="D121" i="1427"/>
  <c r="H24" i="1416"/>
  <c r="F49" i="1419"/>
  <c r="B23" i="1421"/>
  <c r="F34" i="1427"/>
  <c r="E35" i="1427"/>
  <c r="E40" i="1427"/>
  <c r="E47" i="1427"/>
  <c r="F51" i="1427"/>
  <c r="E53" i="1427"/>
  <c r="E58" i="1427"/>
  <c r="E63" i="1427"/>
  <c r="F72" i="1427"/>
  <c r="E73" i="1427"/>
  <c r="E86" i="1427"/>
  <c r="E90" i="1427"/>
  <c r="E102" i="1427"/>
  <c r="E106" i="1427"/>
  <c r="E110" i="1427"/>
  <c r="E124" i="1427"/>
  <c r="E128" i="1427"/>
  <c r="E136" i="1427"/>
  <c r="E140" i="1427"/>
  <c r="E146" i="1427"/>
  <c r="E151" i="1427"/>
  <c r="E157" i="1427"/>
  <c r="D53" i="1430"/>
  <c r="E53" i="1430" s="1"/>
  <c r="D49" i="1419"/>
  <c r="D50" i="1419" s="1"/>
  <c r="F16" i="1427"/>
  <c r="E17" i="1427"/>
  <c r="E20" i="1427"/>
  <c r="F24" i="1427"/>
  <c r="E26" i="1427"/>
  <c r="E37" i="1427"/>
  <c r="F42" i="1427"/>
  <c r="E44" i="1427"/>
  <c r="E49" i="1427"/>
  <c r="E55" i="1427"/>
  <c r="F66" i="1427"/>
  <c r="F68" i="1427"/>
  <c r="F69" i="1427"/>
  <c r="E70" i="1427"/>
  <c r="E75" i="1427"/>
  <c r="G62" i="1458"/>
  <c r="G61" i="1458" s="1"/>
  <c r="E79" i="1427"/>
  <c r="E83" i="1427"/>
  <c r="E88" i="1427"/>
  <c r="E104" i="1427"/>
  <c r="E108" i="1427"/>
  <c r="F118" i="1427"/>
  <c r="E120" i="1427"/>
  <c r="E122" i="1427"/>
  <c r="E126" i="1427"/>
  <c r="E133" i="1427"/>
  <c r="E138" i="1427"/>
  <c r="E149" i="1427"/>
  <c r="E153" i="1427"/>
  <c r="E159" i="1427"/>
  <c r="C39" i="1430"/>
  <c r="C59" i="1432"/>
  <c r="C38" i="1433"/>
  <c r="C43" i="1433" s="1"/>
  <c r="K40" i="1452"/>
  <c r="K68" i="1452" s="1"/>
  <c r="I58" i="1452"/>
  <c r="I92" i="1452"/>
  <c r="K92" i="1452"/>
  <c r="O14" i="1458"/>
  <c r="H16" i="1458"/>
  <c r="D68" i="1452"/>
  <c r="E58" i="1452"/>
  <c r="E92" i="1452"/>
  <c r="G92" i="1452"/>
  <c r="F92" i="1452"/>
  <c r="D134" i="1452"/>
  <c r="I159" i="1452"/>
  <c r="D159" i="1452"/>
  <c r="E16" i="1455"/>
  <c r="D28" i="1455"/>
  <c r="I28" i="1455"/>
  <c r="O19" i="1455"/>
  <c r="O23" i="1455"/>
  <c r="O23" i="1458"/>
  <c r="O41" i="1458"/>
  <c r="L60" i="1458"/>
  <c r="F113" i="1427"/>
  <c r="E15" i="1427"/>
  <c r="E30" i="1427"/>
  <c r="E119" i="1427"/>
  <c r="E117" i="1427"/>
  <c r="E115" i="1427"/>
  <c r="E114" i="1427"/>
  <c r="D57" i="1427"/>
  <c r="D62" i="1427"/>
  <c r="F62" i="1427" s="1"/>
  <c r="F10" i="1420"/>
  <c r="B13" i="1421"/>
  <c r="E10" i="1427"/>
  <c r="F11" i="1427"/>
  <c r="F14" i="1427"/>
  <c r="F19" i="1427"/>
  <c r="F21" i="1427"/>
  <c r="F23" i="1427"/>
  <c r="F27" i="1427"/>
  <c r="F29" i="1427"/>
  <c r="F31" i="1427"/>
  <c r="F36" i="1427"/>
  <c r="F38" i="1427"/>
  <c r="E42" i="1427"/>
  <c r="F43" i="1427"/>
  <c r="E45" i="1427"/>
  <c r="F46" i="1427"/>
  <c r="F48" i="1427"/>
  <c r="E51" i="1427"/>
  <c r="F52" i="1427"/>
  <c r="F54" i="1427"/>
  <c r="F56" i="1427"/>
  <c r="E59" i="1427"/>
  <c r="F61" i="1427"/>
  <c r="F64" i="1427"/>
  <c r="F71" i="1427"/>
  <c r="F74" i="1427"/>
  <c r="F76" i="1427"/>
  <c r="E80" i="1427"/>
  <c r="F82" i="1427"/>
  <c r="E84" i="1427"/>
  <c r="F85" i="1427"/>
  <c r="F87" i="1427"/>
  <c r="F89" i="1427"/>
  <c r="E96" i="1427"/>
  <c r="E97" i="1427"/>
  <c r="E98" i="1427"/>
  <c r="F99" i="1427"/>
  <c r="F103" i="1427"/>
  <c r="F105" i="1427"/>
  <c r="F107" i="1427"/>
  <c r="F109" i="1427"/>
  <c r="F111" i="1427"/>
  <c r="F123" i="1427"/>
  <c r="F125" i="1427"/>
  <c r="F127" i="1427"/>
  <c r="E129" i="1427"/>
  <c r="F132" i="1427"/>
  <c r="F134" i="1427"/>
  <c r="F137" i="1427"/>
  <c r="F139" i="1427"/>
  <c r="F141" i="1427"/>
  <c r="F145" i="1427"/>
  <c r="F148" i="1427"/>
  <c r="F150" i="1427"/>
  <c r="F152" i="1427"/>
  <c r="F154" i="1427"/>
  <c r="F158" i="1427"/>
  <c r="E46" i="1421"/>
  <c r="E68" i="1427"/>
  <c r="E113" i="1427"/>
  <c r="C38" i="1430"/>
  <c r="C47" i="1430"/>
  <c r="D48" i="1430"/>
  <c r="E48" i="1430" s="1"/>
  <c r="E49" i="1430"/>
  <c r="F61" i="1458"/>
  <c r="M61" i="1458"/>
  <c r="E16" i="1450"/>
  <c r="K15" i="1450"/>
  <c r="O15" i="1455"/>
  <c r="O18" i="1455"/>
  <c r="O31" i="1458"/>
  <c r="F40" i="1459"/>
  <c r="G68" i="1452"/>
  <c r="C28" i="1455"/>
  <c r="N61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58" i="1458"/>
  <c r="C60" i="1458" s="1"/>
  <c r="H10" i="1458"/>
  <c r="H12" i="1458"/>
  <c r="O20" i="1458"/>
  <c r="E58" i="1458"/>
  <c r="E60" i="1458" s="1"/>
  <c r="H56" i="1458"/>
  <c r="G49" i="1419" l="1"/>
  <c r="E112" i="1427"/>
  <c r="F29" i="1455"/>
  <c r="F25" i="1427"/>
  <c r="D47" i="1430"/>
  <c r="E61" i="1458"/>
  <c r="E147" i="1427"/>
  <c r="E144" i="1427"/>
  <c r="G93" i="1452"/>
  <c r="E50" i="1427"/>
  <c r="D100" i="1427"/>
  <c r="F100" i="1427" s="1"/>
  <c r="D91" i="1427"/>
  <c r="F93" i="1452"/>
  <c r="F41" i="1427"/>
  <c r="F32" i="1427"/>
  <c r="I68" i="1452"/>
  <c r="I93" i="1452" s="1"/>
  <c r="F131" i="1427"/>
  <c r="D12" i="1427"/>
  <c r="E81" i="1427"/>
  <c r="F135" i="1427"/>
  <c r="G29" i="1455"/>
  <c r="F65" i="1427"/>
  <c r="E33" i="1427"/>
  <c r="E39" i="1430"/>
  <c r="D38" i="1430"/>
  <c r="E38" i="1430" s="1"/>
  <c r="C15" i="1450"/>
  <c r="C16" i="1450" s="1"/>
  <c r="L62" i="1458" s="1"/>
  <c r="L61" i="1458" s="1"/>
  <c r="E18" i="1427"/>
  <c r="G45" i="1423"/>
  <c r="E32" i="1427"/>
  <c r="E9" i="1427"/>
  <c r="F9" i="1427"/>
  <c r="B50" i="1419"/>
  <c r="D116" i="1427"/>
  <c r="E77" i="1427"/>
  <c r="E13" i="1427"/>
  <c r="K93" i="1452"/>
  <c r="K160" i="1452"/>
  <c r="I29" i="1455"/>
  <c r="O58" i="1458"/>
  <c r="O60" i="1458" s="1"/>
  <c r="D43" i="1430"/>
  <c r="E60" i="1427"/>
  <c r="E29" i="1455"/>
  <c r="D93" i="1452"/>
  <c r="J160" i="1452"/>
  <c r="E68" i="1452"/>
  <c r="E93" i="1452" s="1"/>
  <c r="J93" i="1452"/>
  <c r="D160" i="1452"/>
  <c r="D29" i="1455"/>
  <c r="F50" i="1419"/>
  <c r="D59" i="1430"/>
  <c r="I160" i="1452"/>
  <c r="F77" i="1427"/>
  <c r="O16" i="1455"/>
  <c r="C43" i="1430"/>
  <c r="B16" i="1450"/>
  <c r="E142" i="1427"/>
  <c r="F142" i="1427"/>
  <c r="E121" i="1427"/>
  <c r="F121" i="1427"/>
  <c r="E57" i="1427"/>
  <c r="F57" i="1427"/>
  <c r="D95" i="1427"/>
  <c r="D130" i="1427"/>
  <c r="E62" i="1427"/>
  <c r="D155" i="1427"/>
  <c r="H58" i="1458"/>
  <c r="H60" i="1458" s="1"/>
  <c r="O28" i="1455"/>
  <c r="C29" i="1455"/>
  <c r="K16" i="1450"/>
  <c r="C59" i="1430"/>
  <c r="E47" i="1430"/>
  <c r="E39" i="1427"/>
  <c r="F39" i="1427"/>
  <c r="J62" i="1458"/>
  <c r="C62" i="1458"/>
  <c r="H62" i="1458" s="1"/>
  <c r="G50" i="1419" l="1"/>
  <c r="F91" i="1427"/>
  <c r="D15" i="1450"/>
  <c r="D16" i="1450" s="1"/>
  <c r="E91" i="1427"/>
  <c r="E100" i="1427"/>
  <c r="D92" i="1427"/>
  <c r="D67" i="1427"/>
  <c r="E67" i="1427" s="1"/>
  <c r="F12" i="1427"/>
  <c r="E12" i="1427"/>
  <c r="E59" i="1430"/>
  <c r="E43" i="1430"/>
  <c r="J61" i="1458"/>
  <c r="E155" i="1427"/>
  <c r="F155" i="1427"/>
  <c r="C61" i="1458"/>
  <c r="O29" i="1455"/>
  <c r="H61" i="1458"/>
  <c r="E95" i="1427"/>
  <c r="F95" i="1427"/>
  <c r="K62" i="1458"/>
  <c r="K61" i="1458" s="1"/>
  <c r="E116" i="1427"/>
  <c r="F116" i="1427"/>
  <c r="P58" i="1458"/>
  <c r="F67" i="1427" l="1"/>
  <c r="F130" i="1427"/>
  <c r="E130" i="1427"/>
  <c r="F92" i="1427"/>
  <c r="E92" i="1427"/>
  <c r="O62" i="1458"/>
  <c r="O61" i="1458" s="1"/>
  <c r="D156" i="1427"/>
  <c r="E156" i="1427" l="1"/>
  <c r="F156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7" i="1357"/>
  <c r="H99" i="1357"/>
  <c r="E14" i="1357"/>
  <c r="C16" i="1357"/>
  <c r="H14" i="1452" s="1"/>
  <c r="I16" i="1357" l="1"/>
  <c r="C15" i="1357"/>
  <c r="H13" i="1452" s="1"/>
  <c r="I15" i="1357" l="1"/>
  <c r="E105" i="1359" l="1"/>
  <c r="E105" i="1358"/>
  <c r="C122" i="1358"/>
  <c r="A4" i="1399"/>
  <c r="A3" i="1399"/>
  <c r="A4" i="1360"/>
  <c r="A3" i="1360"/>
  <c r="A4" i="1359"/>
  <c r="A3" i="1359"/>
  <c r="E41" i="1357" l="1"/>
  <c r="D105" i="1359"/>
  <c r="A4" i="1358"/>
  <c r="A3" i="1358"/>
  <c r="A4" i="1357"/>
  <c r="A3" i="1357"/>
  <c r="C138" i="1357" l="1"/>
  <c r="H137" i="1452" s="1"/>
  <c r="C137" i="1357"/>
  <c r="H136" i="1452" s="1"/>
  <c r="E19" i="1361" l="1"/>
  <c r="E20" i="1362"/>
  <c r="E18" i="1362" l="1"/>
  <c r="E29" i="1362" s="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4" i="1359" l="1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05" i="1359"/>
  <c r="C117" i="1358"/>
  <c r="D126" i="1358"/>
  <c r="C125" i="1358"/>
  <c r="C127" i="1358"/>
  <c r="C128" i="1358"/>
  <c r="C129" i="1358"/>
  <c r="C130" i="1358"/>
  <c r="C131" i="1358"/>
  <c r="C132" i="1358"/>
  <c r="C133" i="1358"/>
  <c r="D118" i="1358"/>
  <c r="C106" i="1358"/>
  <c r="C107" i="1358"/>
  <c r="C108" i="1358"/>
  <c r="C109" i="1358"/>
  <c r="C110" i="1358"/>
  <c r="C111" i="1358"/>
  <c r="C112" i="1358"/>
  <c r="C113" i="1358"/>
  <c r="C114" i="1358"/>
  <c r="C115" i="1358"/>
  <c r="C116" i="1358"/>
  <c r="C118" i="1358"/>
  <c r="C119" i="1358"/>
  <c r="H119" i="1357" s="1"/>
  <c r="C120" i="1358"/>
  <c r="H120" i="1357" s="1"/>
  <c r="E118" i="1357"/>
  <c r="D118" i="1357"/>
  <c r="C37" i="1357"/>
  <c r="H35" i="1452" s="1"/>
  <c r="C39" i="1357"/>
  <c r="H38" i="1452" s="1"/>
  <c r="C38" i="1357"/>
  <c r="H36" i="1452" s="1"/>
  <c r="C36" i="1357"/>
  <c r="H34" i="1452" s="1"/>
  <c r="H116" i="1357" l="1"/>
  <c r="H114" i="1357"/>
  <c r="H112" i="1357"/>
  <c r="H110" i="1357"/>
  <c r="H108" i="1357"/>
  <c r="H106" i="1357"/>
  <c r="H117" i="1357"/>
  <c r="H115" i="1357"/>
  <c r="H113" i="1357"/>
  <c r="H111" i="1357"/>
  <c r="H109" i="1357"/>
  <c r="H107" i="1357"/>
  <c r="C126" i="1358"/>
  <c r="C134" i="1358"/>
  <c r="D35" i="1357"/>
  <c r="D34" i="1357" s="1"/>
  <c r="D105" i="1358"/>
  <c r="C105" i="1358" l="1"/>
  <c r="C127" i="1357"/>
  <c r="H126" i="1452" s="1"/>
  <c r="C128" i="1357"/>
  <c r="H127" i="1452" s="1"/>
  <c r="C129" i="1357"/>
  <c r="H128" i="1452" s="1"/>
  <c r="C130" i="1357"/>
  <c r="H129" i="1452" s="1"/>
  <c r="C131" i="1357"/>
  <c r="H130" i="1452" s="1"/>
  <c r="C132" i="1357"/>
  <c r="H131" i="1452" s="1"/>
  <c r="C133" i="1357"/>
  <c r="H132" i="1452" s="1"/>
  <c r="C134" i="1357"/>
  <c r="H133" i="1452" s="1"/>
  <c r="E126" i="1357"/>
  <c r="C126" i="1357" s="1"/>
  <c r="P25" i="1455" l="1"/>
  <c r="Q25" i="1455" s="1"/>
  <c r="H125" i="1452"/>
  <c r="E9" i="1362"/>
  <c r="E105" i="1357"/>
  <c r="D105" i="1357"/>
  <c r="C104" i="1357"/>
  <c r="C106" i="1357"/>
  <c r="H105" i="1452" s="1"/>
  <c r="C107" i="1357"/>
  <c r="H106" i="1452" s="1"/>
  <c r="C108" i="1357"/>
  <c r="H107" i="1452" s="1"/>
  <c r="C109" i="1357"/>
  <c r="H108" i="1452" s="1"/>
  <c r="C110" i="1357"/>
  <c r="H109" i="1452" s="1"/>
  <c r="C111" i="1357"/>
  <c r="H110" i="1452" s="1"/>
  <c r="C112" i="1357"/>
  <c r="H111" i="1452" s="1"/>
  <c r="C113" i="1357"/>
  <c r="H112" i="1452" s="1"/>
  <c r="C114" i="1357"/>
  <c r="H113" i="1452" s="1"/>
  <c r="C115" i="1357"/>
  <c r="H114" i="1452" s="1"/>
  <c r="C116" i="1357"/>
  <c r="H115" i="1452" s="1"/>
  <c r="C117" i="1357"/>
  <c r="H116" i="1452" s="1"/>
  <c r="C118" i="1357"/>
  <c r="C119" i="1357"/>
  <c r="H118" i="1452" s="1"/>
  <c r="C120" i="1357"/>
  <c r="H119" i="1452" s="1"/>
  <c r="P21" i="1455" l="1"/>
  <c r="Q21" i="1455" s="1"/>
  <c r="H103" i="1452"/>
  <c r="E10" i="1361"/>
  <c r="P26" i="1455"/>
  <c r="Q26" i="1455" s="1"/>
  <c r="H117" i="1452"/>
  <c r="E8" i="1361"/>
  <c r="C105" i="1357"/>
  <c r="C103" i="1357"/>
  <c r="P22" i="1455" l="1"/>
  <c r="Q22" i="1455" s="1"/>
  <c r="H104" i="1452"/>
  <c r="P20" i="1455"/>
  <c r="Q20" i="1455" s="1"/>
  <c r="H102" i="1452"/>
  <c r="E9" i="1361"/>
  <c r="E7" i="1361"/>
  <c r="C126" i="1360"/>
  <c r="C118" i="1360"/>
  <c r="H118" i="1357" s="1"/>
  <c r="C105" i="1360"/>
  <c r="H105" i="1357" s="1"/>
  <c r="E3" i="1361" l="1"/>
  <c r="C35" i="1360"/>
  <c r="E35" i="1359"/>
  <c r="E35" i="1358"/>
  <c r="D35" i="1358"/>
  <c r="D34" i="1358" s="1"/>
  <c r="E35" i="1357"/>
  <c r="C35" i="1357" s="1"/>
  <c r="H33" i="1452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9" l="1"/>
  <c r="C17" i="1362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9" i="1359"/>
  <c r="C158" i="1359"/>
  <c r="C157" i="1359"/>
  <c r="C156" i="1359"/>
  <c r="C155" i="1359"/>
  <c r="C154" i="1359"/>
  <c r="C153" i="1359"/>
  <c r="E152" i="1359"/>
  <c r="D152" i="1359"/>
  <c r="C151" i="1359"/>
  <c r="C150" i="1359"/>
  <c r="C149" i="1359"/>
  <c r="C148" i="1359"/>
  <c r="E147" i="1359"/>
  <c r="D147" i="1359"/>
  <c r="C146" i="1359"/>
  <c r="C145" i="1359"/>
  <c r="C144" i="1359"/>
  <c r="C143" i="1359"/>
  <c r="C142" i="1359"/>
  <c r="C141" i="1359"/>
  <c r="E140" i="1359"/>
  <c r="D140" i="1359"/>
  <c r="C139" i="1359"/>
  <c r="C138" i="1359"/>
  <c r="C137" i="1359"/>
  <c r="E136" i="1359"/>
  <c r="D136" i="1359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5" i="1359"/>
  <c r="H125" i="1357" s="1"/>
  <c r="C124" i="1359"/>
  <c r="C123" i="1359"/>
  <c r="C122" i="1359"/>
  <c r="E121" i="1359"/>
  <c r="D121" i="1359"/>
  <c r="C103" i="1359"/>
  <c r="C102" i="1359"/>
  <c r="C101" i="1359"/>
  <c r="E100" i="1359"/>
  <c r="D100" i="1359"/>
  <c r="C98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C153" i="1358"/>
  <c r="H153" i="1357" s="1"/>
  <c r="E152" i="1358"/>
  <c r="D152" i="1358"/>
  <c r="C151" i="1358"/>
  <c r="H151" i="1357" s="1"/>
  <c r="C150" i="1358"/>
  <c r="H150" i="1357" s="1"/>
  <c r="C149" i="1358"/>
  <c r="H149" i="1357" s="1"/>
  <c r="C148" i="1358"/>
  <c r="H148" i="1357" s="1"/>
  <c r="E147" i="1358"/>
  <c r="D147" i="1358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E136" i="1358"/>
  <c r="D136" i="1358"/>
  <c r="C124" i="1358"/>
  <c r="C123" i="1358"/>
  <c r="E121" i="1358"/>
  <c r="D121" i="1358"/>
  <c r="C104" i="1358"/>
  <c r="H104" i="1357" s="1"/>
  <c r="C103" i="1358"/>
  <c r="C102" i="1358"/>
  <c r="C101" i="1358"/>
  <c r="E100" i="1358"/>
  <c r="E135" i="1358" s="1"/>
  <c r="C98" i="1358"/>
  <c r="C92" i="1358"/>
  <c r="C91" i="1358"/>
  <c r="H91" i="1357" s="1"/>
  <c r="C90" i="1358"/>
  <c r="C89" i="1358"/>
  <c r="H89" i="1357" s="1"/>
  <c r="C88" i="1358"/>
  <c r="C87" i="1358"/>
  <c r="H87" i="1357" s="1"/>
  <c r="E86" i="1358"/>
  <c r="D86" i="1358"/>
  <c r="C85" i="1358"/>
  <c r="C84" i="1358"/>
  <c r="H84" i="1357" s="1"/>
  <c r="C83" i="1358"/>
  <c r="E82" i="1358"/>
  <c r="D82" i="1358"/>
  <c r="C81" i="1358"/>
  <c r="H81" i="1357" s="1"/>
  <c r="C80" i="1358"/>
  <c r="E79" i="1358"/>
  <c r="D79" i="1358"/>
  <c r="C78" i="1358"/>
  <c r="H78" i="1357" s="1"/>
  <c r="C77" i="1358"/>
  <c r="C76" i="1358"/>
  <c r="H76" i="1357" s="1"/>
  <c r="C75" i="1358"/>
  <c r="E74" i="1358"/>
  <c r="D74" i="1358"/>
  <c r="C73" i="1358"/>
  <c r="H73" i="1357" s="1"/>
  <c r="C72" i="1358"/>
  <c r="C71" i="1358"/>
  <c r="H71" i="1357" s="1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H60" i="1357" s="1"/>
  <c r="E59" i="1358"/>
  <c r="D59" i="1358"/>
  <c r="C58" i="1358"/>
  <c r="C57" i="1358"/>
  <c r="H57" i="1357" s="1"/>
  <c r="C56" i="1358"/>
  <c r="C55" i="1358"/>
  <c r="H55" i="1357" s="1"/>
  <c r="C54" i="1358"/>
  <c r="E53" i="1358"/>
  <c r="D53" i="1358"/>
  <c r="C52" i="1358"/>
  <c r="H52" i="1357" s="1"/>
  <c r="C51" i="1358"/>
  <c r="C50" i="1358"/>
  <c r="H50" i="1357" s="1"/>
  <c r="C49" i="1358"/>
  <c r="C48" i="1358"/>
  <c r="H48" i="1357" s="1"/>
  <c r="C47" i="1358"/>
  <c r="C46" i="1358"/>
  <c r="H46" i="1357" s="1"/>
  <c r="C45" i="1358"/>
  <c r="C44" i="1358"/>
  <c r="H44" i="1357" s="1"/>
  <c r="C43" i="1358"/>
  <c r="C42" i="1358"/>
  <c r="H42" i="1357" s="1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9" i="1357"/>
  <c r="H158" i="1452" s="1"/>
  <c r="C158" i="1357"/>
  <c r="H157" i="1452" s="1"/>
  <c r="C157" i="1357"/>
  <c r="H156" i="1452" s="1"/>
  <c r="C156" i="1357"/>
  <c r="H155" i="1452" s="1"/>
  <c r="C155" i="1357"/>
  <c r="H154" i="1452" s="1"/>
  <c r="C154" i="1357"/>
  <c r="H153" i="1452" s="1"/>
  <c r="C153" i="1357"/>
  <c r="H152" i="1452" s="1"/>
  <c r="E152" i="1357"/>
  <c r="D152" i="1357"/>
  <c r="C151" i="1357"/>
  <c r="H150" i="1452" s="1"/>
  <c r="C150" i="1357"/>
  <c r="H149" i="1452" s="1"/>
  <c r="C149" i="1357"/>
  <c r="H148" i="1452" s="1"/>
  <c r="C148" i="1357"/>
  <c r="H147" i="1452" s="1"/>
  <c r="E147" i="1357"/>
  <c r="D147" i="1357"/>
  <c r="C146" i="1357"/>
  <c r="H145" i="1452" s="1"/>
  <c r="C145" i="1357"/>
  <c r="H144" i="1452" s="1"/>
  <c r="C144" i="1357"/>
  <c r="H143" i="1452" s="1"/>
  <c r="C143" i="1357"/>
  <c r="H142" i="1452" s="1"/>
  <c r="C142" i="1357"/>
  <c r="H141" i="1452" s="1"/>
  <c r="C141" i="1357"/>
  <c r="H140" i="1452" s="1"/>
  <c r="E140" i="1357"/>
  <c r="D140" i="1357"/>
  <c r="C139" i="1357"/>
  <c r="H138" i="1452" s="1"/>
  <c r="E136" i="1357"/>
  <c r="D136" i="1357"/>
  <c r="C125" i="1357"/>
  <c r="H124" i="1452" s="1"/>
  <c r="C124" i="1357"/>
  <c r="C123" i="1357"/>
  <c r="H122" i="1452" s="1"/>
  <c r="C122" i="1357"/>
  <c r="E121" i="1357"/>
  <c r="D121" i="1357"/>
  <c r="C102" i="1357"/>
  <c r="C101" i="1357"/>
  <c r="E100" i="1357"/>
  <c r="D100" i="1357"/>
  <c r="C98" i="1357"/>
  <c r="C92" i="1357"/>
  <c r="H91" i="1452" s="1"/>
  <c r="C91" i="1357"/>
  <c r="H90" i="1452" s="1"/>
  <c r="C90" i="1357"/>
  <c r="H89" i="1452" s="1"/>
  <c r="C89" i="1357"/>
  <c r="H88" i="1452" s="1"/>
  <c r="C88" i="1357"/>
  <c r="H87" i="1452" s="1"/>
  <c r="C87" i="1357"/>
  <c r="H86" i="1452" s="1"/>
  <c r="E86" i="1357"/>
  <c r="D86" i="1357"/>
  <c r="C85" i="1357"/>
  <c r="H84" i="1452" s="1"/>
  <c r="C84" i="1357"/>
  <c r="H83" i="1452" s="1"/>
  <c r="C83" i="1357"/>
  <c r="H82" i="1452" s="1"/>
  <c r="E82" i="1357"/>
  <c r="D82" i="1357"/>
  <c r="C81" i="1357"/>
  <c r="H80" i="1452" s="1"/>
  <c r="C80" i="1357"/>
  <c r="E79" i="1357"/>
  <c r="D79" i="1357"/>
  <c r="C78" i="1357"/>
  <c r="H77" i="1452" s="1"/>
  <c r="C77" i="1357"/>
  <c r="H76" i="1452" s="1"/>
  <c r="C76" i="1357"/>
  <c r="H75" i="1452" s="1"/>
  <c r="C75" i="1357"/>
  <c r="H74" i="1452" s="1"/>
  <c r="E74" i="1357"/>
  <c r="D74" i="1357"/>
  <c r="C73" i="1357"/>
  <c r="H72" i="1452" s="1"/>
  <c r="C72" i="1357"/>
  <c r="H71" i="1452" s="1"/>
  <c r="C71" i="1357"/>
  <c r="H70" i="1452" s="1"/>
  <c r="E70" i="1357"/>
  <c r="D70" i="1357"/>
  <c r="C68" i="1357"/>
  <c r="H67" i="1452" s="1"/>
  <c r="C67" i="1357"/>
  <c r="H66" i="1452" s="1"/>
  <c r="C66" i="1357"/>
  <c r="H65" i="1452" s="1"/>
  <c r="C65" i="1357"/>
  <c r="H64" i="1452" s="1"/>
  <c r="E64" i="1357"/>
  <c r="D64" i="1357"/>
  <c r="C63" i="1357"/>
  <c r="H62" i="1452" s="1"/>
  <c r="C62" i="1357"/>
  <c r="H61" i="1452" s="1"/>
  <c r="C60" i="1357"/>
  <c r="H59" i="1452" s="1"/>
  <c r="E59" i="1357"/>
  <c r="C58" i="1357"/>
  <c r="H57" i="1452" s="1"/>
  <c r="C57" i="1357"/>
  <c r="H56" i="1452" s="1"/>
  <c r="C56" i="1357"/>
  <c r="H55" i="1452" s="1"/>
  <c r="C55" i="1357"/>
  <c r="H54" i="1452" s="1"/>
  <c r="C54" i="1357"/>
  <c r="H53" i="1452" s="1"/>
  <c r="E53" i="1357"/>
  <c r="D53" i="1357"/>
  <c r="C52" i="1357"/>
  <c r="H51" i="1452" s="1"/>
  <c r="C51" i="1357"/>
  <c r="H50" i="1452" s="1"/>
  <c r="C50" i="1357"/>
  <c r="H49" i="1452" s="1"/>
  <c r="C49" i="1357"/>
  <c r="H48" i="1452" s="1"/>
  <c r="C48" i="1357"/>
  <c r="H47" i="1452" s="1"/>
  <c r="C47" i="1357"/>
  <c r="H46" i="1452" s="1"/>
  <c r="H45" i="1452"/>
  <c r="C45" i="1357"/>
  <c r="H44" i="1452" s="1"/>
  <c r="C44" i="1357"/>
  <c r="H43" i="1452" s="1"/>
  <c r="C43" i="1357"/>
  <c r="H42" i="1452" s="1"/>
  <c r="C42" i="1357"/>
  <c r="H41" i="1452" s="1"/>
  <c r="C40" i="1357"/>
  <c r="H39" i="1452" s="1"/>
  <c r="C33" i="1357"/>
  <c r="H31" i="1452" s="1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H79" i="1452" l="1"/>
  <c r="C19" i="136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8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2" i="1357"/>
  <c r="I102" i="1357" s="1"/>
  <c r="H124" i="1357"/>
  <c r="I124" i="1357" s="1"/>
  <c r="H103" i="1357"/>
  <c r="I103" i="1357" s="1"/>
  <c r="H101" i="1357"/>
  <c r="I101" i="1357" s="1"/>
  <c r="P23" i="1455"/>
  <c r="Q23" i="1455" s="1"/>
  <c r="H121" i="1452"/>
  <c r="F51" i="1419"/>
  <c r="F52" i="1419" s="1"/>
  <c r="H123" i="1452"/>
  <c r="P24" i="1455"/>
  <c r="Q24" i="1455" s="1"/>
  <c r="E22" i="1420"/>
  <c r="P19" i="1455"/>
  <c r="Q19" i="1455" s="1"/>
  <c r="H101" i="1452"/>
  <c r="P18" i="1455"/>
  <c r="H100" i="1452"/>
  <c r="H43" i="1357"/>
  <c r="H68" i="1357"/>
  <c r="I68" i="1357" s="1"/>
  <c r="H123" i="1357"/>
  <c r="I123" i="1357" s="1"/>
  <c r="C26" i="1361"/>
  <c r="E27" i="1361"/>
  <c r="E28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H122" i="1357"/>
  <c r="I122" i="1357" s="1"/>
  <c r="H47" i="1357"/>
  <c r="I47" i="1357" s="1"/>
  <c r="C7" i="1361"/>
  <c r="E6" i="1361"/>
  <c r="E6" i="1362"/>
  <c r="E8" i="1362"/>
  <c r="C11" i="1361"/>
  <c r="C24" i="1361"/>
  <c r="C23" i="1361" s="1"/>
  <c r="C18" i="1361"/>
  <c r="E5" i="1361"/>
  <c r="C24" i="1362"/>
  <c r="C23" i="1362" s="1"/>
  <c r="C29" i="1362" s="1"/>
  <c r="C86" i="1357"/>
  <c r="H85" i="1452" s="1"/>
  <c r="C140" i="1357"/>
  <c r="H139" i="1452" s="1"/>
  <c r="I48" i="1357"/>
  <c r="I50" i="1357"/>
  <c r="I55" i="1357"/>
  <c r="I57" i="1357"/>
  <c r="I60" i="1357"/>
  <c r="I67" i="1357"/>
  <c r="I71" i="1357"/>
  <c r="I76" i="1357"/>
  <c r="I78" i="1357"/>
  <c r="I81" i="1357"/>
  <c r="I84" i="1357"/>
  <c r="I89" i="1357"/>
  <c r="E93" i="1357"/>
  <c r="I43" i="1357"/>
  <c r="C70" i="1359"/>
  <c r="C86" i="1359"/>
  <c r="E135" i="1359"/>
  <c r="C160" i="1360"/>
  <c r="C27" i="1357"/>
  <c r="C74" i="1357"/>
  <c r="H73" i="1452" s="1"/>
  <c r="E7" i="1362"/>
  <c r="C121" i="1359"/>
  <c r="C152" i="1359"/>
  <c r="C64" i="1357"/>
  <c r="C152" i="1357"/>
  <c r="H151" i="1452" s="1"/>
  <c r="C64" i="1358"/>
  <c r="E5" i="1362"/>
  <c r="I46" i="1357"/>
  <c r="D93" i="1357"/>
  <c r="C53" i="1359"/>
  <c r="I52" i="1357"/>
  <c r="I44" i="1357"/>
  <c r="C86" i="1358"/>
  <c r="C20" i="1359"/>
  <c r="C27" i="1359"/>
  <c r="C41" i="1359"/>
  <c r="C64" i="1359"/>
  <c r="E93" i="1359"/>
  <c r="C74" i="1359"/>
  <c r="C79" i="1359"/>
  <c r="C82" i="1359"/>
  <c r="C147" i="1359"/>
  <c r="D160" i="1357"/>
  <c r="C136" i="1357"/>
  <c r="H135" i="1452" s="1"/>
  <c r="C20" i="1357"/>
  <c r="I42" i="1357"/>
  <c r="C11" i="1357"/>
  <c r="E160" i="1357"/>
  <c r="C82" i="1358"/>
  <c r="I87" i="1357"/>
  <c r="I91" i="1357"/>
  <c r="C121" i="1358"/>
  <c r="C152" i="1358"/>
  <c r="D93" i="1359"/>
  <c r="C93" i="1360"/>
  <c r="C147" i="1357"/>
  <c r="H146" i="1452" s="1"/>
  <c r="C59" i="1358"/>
  <c r="I65" i="1357"/>
  <c r="D93" i="1358"/>
  <c r="I156" i="1357"/>
  <c r="D160" i="1359"/>
  <c r="C82" i="1357"/>
  <c r="H81" i="1452" s="1"/>
  <c r="C20" i="1358"/>
  <c r="C53" i="1358"/>
  <c r="C74" i="1358"/>
  <c r="E160" i="1358"/>
  <c r="E161" i="1358" s="1"/>
  <c r="C140" i="1358"/>
  <c r="C147" i="1358"/>
  <c r="I150" i="1357"/>
  <c r="C59" i="1359"/>
  <c r="E160" i="1359"/>
  <c r="C140" i="1359"/>
  <c r="C126" i="1359"/>
  <c r="I13" i="1357"/>
  <c r="I137" i="1357"/>
  <c r="I14" i="1357"/>
  <c r="D135" i="1359"/>
  <c r="D135" i="1357"/>
  <c r="C79" i="1357"/>
  <c r="H78" i="1452" s="1"/>
  <c r="C53" i="1357"/>
  <c r="E69" i="1357"/>
  <c r="E135" i="1357"/>
  <c r="C121" i="1357"/>
  <c r="H120" i="1452" s="1"/>
  <c r="C135" i="1360"/>
  <c r="I17" i="1357"/>
  <c r="I18" i="1357"/>
  <c r="I25" i="1357"/>
  <c r="I32" i="1357"/>
  <c r="I33" i="1357"/>
  <c r="I73" i="1357"/>
  <c r="I104" i="1357"/>
  <c r="I105" i="1357"/>
  <c r="I106" i="1357"/>
  <c r="I117" i="1357"/>
  <c r="I118" i="1357"/>
  <c r="I134" i="1357"/>
  <c r="I141" i="1357"/>
  <c r="I142" i="1357"/>
  <c r="I143" i="1357"/>
  <c r="I144" i="1357"/>
  <c r="I145" i="1357"/>
  <c r="I146" i="1357"/>
  <c r="I159" i="1357"/>
  <c r="E69" i="1359"/>
  <c r="C34" i="1359"/>
  <c r="C34" i="1358"/>
  <c r="C34" i="1357"/>
  <c r="D160" i="1358"/>
  <c r="C79" i="1358"/>
  <c r="E93" i="1358"/>
  <c r="E69" i="1358"/>
  <c r="C100" i="1357"/>
  <c r="H99" i="1452" s="1"/>
  <c r="C70" i="1357"/>
  <c r="H69" i="1452" s="1"/>
  <c r="I26" i="1357"/>
  <c r="I28" i="1357"/>
  <c r="I29" i="1357"/>
  <c r="I30" i="1357"/>
  <c r="I31" i="1357"/>
  <c r="I107" i="1357"/>
  <c r="I108" i="1357"/>
  <c r="I109" i="1357"/>
  <c r="I110" i="1357"/>
  <c r="I111" i="1357"/>
  <c r="I112" i="1357"/>
  <c r="I113" i="1357"/>
  <c r="I114" i="1357"/>
  <c r="I115" i="1357"/>
  <c r="I116" i="1357"/>
  <c r="I119" i="1357"/>
  <c r="I120" i="1357"/>
  <c r="I125" i="1357"/>
  <c r="I127" i="1357"/>
  <c r="I128" i="1357"/>
  <c r="I129" i="1357"/>
  <c r="I130" i="1357"/>
  <c r="I131" i="1357"/>
  <c r="I132" i="1357"/>
  <c r="I133" i="1357"/>
  <c r="I138" i="1357"/>
  <c r="I139" i="1357"/>
  <c r="I148" i="1357"/>
  <c r="I149" i="1357"/>
  <c r="I151" i="1357"/>
  <c r="I153" i="1357"/>
  <c r="I154" i="1357"/>
  <c r="I155" i="1357"/>
  <c r="I157" i="1357"/>
  <c r="I158" i="1357"/>
  <c r="C69" i="1360"/>
  <c r="C11" i="1359"/>
  <c r="C136" i="1359"/>
  <c r="C100" i="1359"/>
  <c r="C136" i="1358"/>
  <c r="H136" i="1357" s="1"/>
  <c r="D11" i="1358"/>
  <c r="D27" i="1358"/>
  <c r="D41" i="1358"/>
  <c r="C70" i="1358"/>
  <c r="C61" i="1357"/>
  <c r="H60" i="1452" s="1"/>
  <c r="D59" i="1357"/>
  <c r="H59" i="1357" l="1"/>
  <c r="H70" i="1357"/>
  <c r="I70" i="1357" s="1"/>
  <c r="H74" i="1357"/>
  <c r="H152" i="1357"/>
  <c r="H53" i="1357"/>
  <c r="I53" i="1357" s="1"/>
  <c r="C166" i="1360"/>
  <c r="H64" i="1357"/>
  <c r="H86" i="1357"/>
  <c r="I86" i="1357" s="1"/>
  <c r="P10" i="1455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2" i="1357"/>
  <c r="I82" i="1357" s="1"/>
  <c r="H20" i="1357"/>
  <c r="I20" i="1357" s="1"/>
  <c r="H79" i="1357"/>
  <c r="I79" i="1357" s="1"/>
  <c r="H34" i="1357"/>
  <c r="I34" i="1357" s="1"/>
  <c r="E94" i="1359"/>
  <c r="H126" i="1357"/>
  <c r="I126" i="1357" s="1"/>
  <c r="H140" i="1357"/>
  <c r="I140" i="1357" s="1"/>
  <c r="E32" i="1362"/>
  <c r="C32" i="1362"/>
  <c r="H121" i="1357"/>
  <c r="I121" i="1357" s="1"/>
  <c r="H147" i="1357"/>
  <c r="I147" i="1357" s="1"/>
  <c r="E17" i="1361"/>
  <c r="E29" i="1361" s="1"/>
  <c r="C5" i="1361"/>
  <c r="C8" i="1361"/>
  <c r="C9" i="1361"/>
  <c r="C7" i="1362"/>
  <c r="C8" i="1362"/>
  <c r="C5" i="1362"/>
  <c r="C28" i="1361"/>
  <c r="D7" i="1413" s="1"/>
  <c r="D161" i="1359"/>
  <c r="C69" i="1359"/>
  <c r="C27" i="1358"/>
  <c r="H27" i="1357" s="1"/>
  <c r="I27" i="1357" s="1"/>
  <c r="C41" i="1358"/>
  <c r="H41" i="1357" s="1"/>
  <c r="I41" i="1357" s="1"/>
  <c r="C59" i="1357"/>
  <c r="C93" i="1357"/>
  <c r="E161" i="1357"/>
  <c r="I64" i="1357"/>
  <c r="E161" i="1359"/>
  <c r="C161" i="1359" s="1"/>
  <c r="I74" i="1357"/>
  <c r="C93" i="1359"/>
  <c r="I61" i="1357"/>
  <c r="C135" i="1359"/>
  <c r="E94" i="1357"/>
  <c r="I152" i="1357"/>
  <c r="E16" i="1362"/>
  <c r="C160" i="1358"/>
  <c r="C160" i="1357"/>
  <c r="C93" i="1358"/>
  <c r="D161" i="1357"/>
  <c r="I136" i="1357"/>
  <c r="E94" i="1358"/>
  <c r="C160" i="1359"/>
  <c r="D94" i="1359"/>
  <c r="C135" i="1357"/>
  <c r="H134" i="1452" s="1"/>
  <c r="C161" i="1360"/>
  <c r="C94" i="1360"/>
  <c r="C165" i="1360"/>
  <c r="D69" i="1358"/>
  <c r="C11" i="1358"/>
  <c r="D100" i="1358"/>
  <c r="D69" i="1357"/>
  <c r="H93" i="1357" l="1"/>
  <c r="I93" i="1357" s="1"/>
  <c r="P27" i="1455"/>
  <c r="H159" i="1452"/>
  <c r="P15" i="1455"/>
  <c r="Q15" i="1455" s="1"/>
  <c r="H92" i="1452"/>
  <c r="H58" i="1452"/>
  <c r="P13" i="1455"/>
  <c r="Q13" i="1455" s="1"/>
  <c r="Q8" i="1455"/>
  <c r="H160" i="1357"/>
  <c r="I160" i="1357" s="1"/>
  <c r="C31" i="1361"/>
  <c r="E31" i="1361"/>
  <c r="C165" i="1359"/>
  <c r="C16" i="1362"/>
  <c r="E31" i="1362" s="1"/>
  <c r="C10" i="1361"/>
  <c r="C17" i="1361" s="1"/>
  <c r="B14" i="1413"/>
  <c r="E14" i="1413" s="1"/>
  <c r="B13" i="1413"/>
  <c r="B7" i="1413"/>
  <c r="E7" i="1413" s="1"/>
  <c r="C94" i="1359"/>
  <c r="I59" i="1357"/>
  <c r="C161" i="1357"/>
  <c r="H160" i="1452" s="1"/>
  <c r="C166" i="1357"/>
  <c r="D13" i="1413"/>
  <c r="E30" i="1362"/>
  <c r="D15" i="1413" s="1"/>
  <c r="C166" i="1358"/>
  <c r="C166" i="1359"/>
  <c r="H11" i="1357"/>
  <c r="I11" i="1357" s="1"/>
  <c r="D135" i="1358"/>
  <c r="C100" i="1358"/>
  <c r="H100" i="1357" s="1"/>
  <c r="D94" i="1358"/>
  <c r="C69" i="1358"/>
  <c r="H69" i="1357" s="1"/>
  <c r="C69" i="1357"/>
  <c r="H68" i="1452" s="1"/>
  <c r="D94" i="1357"/>
  <c r="E30" i="1361" l="1"/>
  <c r="D6" i="1413"/>
  <c r="P16" i="1455"/>
  <c r="Q16" i="1455" s="1"/>
  <c r="Q27" i="1455"/>
  <c r="P28" i="1455"/>
  <c r="Q28" i="1455" s="1"/>
  <c r="C31" i="1362"/>
  <c r="C30" i="1362"/>
  <c r="C33" i="1362" s="1"/>
  <c r="B6" i="1413"/>
  <c r="C29" i="1361"/>
  <c r="C30" i="1361"/>
  <c r="E13" i="1413"/>
  <c r="B15" i="1413"/>
  <c r="E15" i="1413" s="1"/>
  <c r="C94" i="1358"/>
  <c r="H94" i="1357" s="1"/>
  <c r="I100" i="1357"/>
  <c r="C94" i="1357"/>
  <c r="H93" i="1452" s="1"/>
  <c r="D161" i="1358"/>
  <c r="C161" i="1358" s="1"/>
  <c r="C135" i="1358"/>
  <c r="H135" i="1357" s="1"/>
  <c r="C165" i="1357"/>
  <c r="I69" i="1357"/>
  <c r="E6" i="1413" l="1"/>
  <c r="E33" i="1362"/>
  <c r="D8" i="1413"/>
  <c r="E32" i="1361"/>
  <c r="C32" i="1361"/>
  <c r="I94" i="1357"/>
  <c r="B8" i="1413"/>
  <c r="C165" i="1358"/>
  <c r="I135" i="1357"/>
  <c r="E8" i="1413" l="1"/>
  <c r="H161" i="1357"/>
  <c r="I161" i="1357" s="1"/>
</calcChain>
</file>

<file path=xl/sharedStrings.xml><?xml version="1.0" encoding="utf-8"?>
<sst xmlns="http://schemas.openxmlformats.org/spreadsheetml/2006/main" count="6485" uniqueCount="1038">
  <si>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</si>
  <si>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</si>
  <si>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</si>
  <si>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</si>
  <si>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</si>
  <si>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</si>
  <si>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</si>
  <si>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</si>
  <si>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</si>
  <si>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</si>
  <si>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</si>
  <si>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</si>
  <si>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</si>
  <si>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</si>
  <si>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</si>
  <si>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</si>
  <si>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</si>
  <si>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</si>
  <si>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</si>
  <si>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</si>
  <si>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</si>
  <si>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</si>
  <si>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</si>
  <si>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</si>
  <si>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</si>
  <si>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</si>
  <si>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</si>
  <si>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</si>
  <si>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</si>
  <si>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</si>
  <si>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</si>
  <si>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</si>
  <si>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</si>
  <si>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</si>
  <si>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</si>
  <si>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</si>
  <si>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</si>
  <si>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</si>
  <si>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</si>
  <si>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</si>
  <si>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</si>
  <si>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</si>
  <si>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</si>
  <si>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</si>
  <si>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</si>
  <si>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</si>
  <si>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</si>
  <si>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</si>
  <si>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</si>
  <si>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</si>
  <si>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</si>
  <si>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</si>
  <si>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</si>
  <si>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</si>
  <si>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</si>
  <si>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</si>
  <si>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</si>
  <si>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</si>
  <si>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</si>
  <si>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</si>
  <si>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</si>
  <si>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</si>
  <si>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</si>
  <si>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</si>
  <si>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</si>
  <si>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</si>
  <si>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</si>
  <si>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</si>
  <si>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</si>
  <si>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</si>
  <si>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</si>
  <si>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</si>
  <si>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</si>
  <si>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</si>
  <si>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</si>
  <si>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</si>
  <si>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</si>
  <si>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</si>
  <si>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</si>
  <si>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</si>
  <si>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</si>
  <si>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</si>
  <si>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</si>
  <si>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</si>
  <si>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</si>
  <si>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</si>
  <si>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</si>
  <si>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</si>
  <si>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</si>
  <si>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</si>
  <si>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</si>
  <si>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</si>
  <si>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</si>
  <si>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</si>
  <si>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</si>
  <si>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</si>
  <si>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</si>
  <si>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</si>
  <si>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</si>
  <si>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</si>
  <si>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</si>
  <si>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</si>
  <si>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</si>
  <si>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</si>
  <si>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</si>
  <si>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</si>
  <si>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</si>
  <si>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</si>
  <si>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</si>
  <si>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</si>
  <si>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</si>
  <si>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</si>
  <si>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</si>
  <si>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</si>
  <si>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</si>
  <si>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</si>
  <si>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</si>
  <si>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</si>
  <si>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</si>
  <si>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</si>
  <si>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</si>
  <si>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</si>
  <si>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</si>
  <si>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</si>
  <si>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</si>
  <si>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</si>
  <si>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</si>
  <si>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</si>
  <si>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</si>
  <si>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</si>
  <si>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</si>
  <si>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</si>
  <si>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</si>
  <si>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</si>
  <si>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</si>
  <si>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</si>
  <si>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</si>
  <si>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</si>
  <si>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</si>
  <si>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</si>
  <si>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</si>
  <si>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</si>
  <si>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</si>
  <si>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</si>
  <si>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</si>
  <si>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</si>
  <si>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</si>
  <si>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</si>
  <si>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</si>
  <si>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</si>
  <si>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</si>
  <si>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</si>
  <si>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</si>
  <si>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</si>
  <si>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</si>
  <si>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</si>
  <si>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</si>
  <si>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</si>
  <si>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</si>
  <si>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</si>
  <si>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</si>
  <si>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</si>
  <si>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</si>
  <si>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</si>
  <si>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</si>
  <si>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</si>
  <si>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</si>
  <si>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</si>
  <si>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</si>
  <si>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</si>
  <si>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</si>
  <si>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</si>
  <si>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</si>
  <si>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</si>
  <si>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</si>
  <si>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</si>
  <si>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</si>
  <si>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</si>
  <si>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</si>
  <si>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</si>
  <si>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</si>
  <si>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</si>
  <si>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</si>
  <si>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</si>
  <si>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</si>
  <si>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</si>
  <si>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</si>
  <si>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</si>
  <si>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</si>
  <si>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</si>
  <si>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</si>
  <si>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</si>
  <si>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</si>
  <si>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</si>
  <si>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</si>
  <si>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</si>
  <si>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</si>
  <si>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</si>
  <si>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</si>
  <si>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</si>
  <si>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</si>
  <si>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</si>
  <si>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</si>
  <si>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</si>
  <si>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</si>
  <si>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</si>
  <si>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</si>
  <si>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</si>
  <si>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</si>
  <si>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</si>
  <si>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</si>
  <si>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</si>
  <si>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</si>
  <si>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</si>
  <si>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</si>
  <si>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</si>
  <si>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</si>
  <si>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</si>
  <si>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</si>
  <si>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</si>
  <si>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</si>
  <si>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</si>
  <si>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</si>
  <si>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</si>
  <si>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</si>
  <si>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</si>
  <si>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</si>
  <si>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</si>
  <si>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</si>
  <si>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</si>
  <si>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</si>
  <si>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</si>
  <si>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</si>
  <si>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</si>
  <si>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</si>
  <si>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</si>
  <si>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</si>
  <si>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</si>
  <si>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</si>
  <si>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</si>
  <si>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</si>
  <si>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</si>
  <si>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</si>
  <si>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</si>
  <si>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</si>
  <si>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</si>
  <si>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</si>
  <si>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</si>
  <si>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</si>
  <si>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</si>
  <si>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</si>
  <si>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</si>
  <si>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</si>
  <si>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</si>
  <si>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</si>
  <si>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</si>
  <si>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</si>
  <si>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</si>
  <si>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</si>
  <si>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</si>
  <si>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</si>
  <si>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</si>
  <si>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</si>
  <si>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</si>
  <si>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</si>
  <si>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</si>
  <si>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</si>
  <si>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</si>
  <si>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</si>
  <si>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</si>
  <si>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</si>
  <si>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</si>
  <si>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</si>
  <si>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</si>
  <si>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</si>
  <si>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</si>
  <si>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</si>
  <si>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</si>
  <si>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</si>
  <si>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</si>
  <si>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</si>
  <si>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</si>
  <si>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</si>
  <si>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</si>
  <si>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</si>
  <si>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</si>
  <si>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</si>
  <si>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</si>
  <si>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</si>
  <si>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</si>
  <si>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</si>
  <si>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</si>
  <si>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</si>
  <si>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</si>
  <si>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</si>
  <si>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</si>
  <si>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</si>
  <si>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</si>
  <si>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</si>
  <si>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</si>
  <si>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</si>
  <si>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</si>
  <si>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</si>
  <si>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</si>
  <si>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</si>
  <si>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</si>
  <si>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</si>
  <si>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</si>
  <si>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</si>
  <si>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</si>
  <si>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</si>
  <si>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</si>
  <si>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</si>
  <si>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</si>
  <si>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</si>
  <si>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</si>
  <si>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</si>
  <si>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</si>
  <si>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</si>
  <si>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</si>
  <si>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</si>
  <si>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</si>
  <si>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</si>
  <si>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</si>
  <si>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</si>
  <si>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</si>
  <si>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</si>
  <si>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</si>
  <si>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</si>
  <si>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</si>
  <si>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</si>
  <si>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</si>
  <si>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</si>
  <si>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</si>
  <si>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</si>
  <si>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</si>
  <si>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</si>
  <si>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</si>
  <si>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</si>
  <si>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</si>
  <si>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</si>
  <si>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</si>
  <si>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</si>
  <si>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</si>
  <si>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</si>
  <si>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</si>
  <si>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</si>
  <si>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</si>
  <si>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</si>
  <si>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</si>
  <si>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</si>
  <si>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</si>
  <si>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</si>
  <si>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</si>
  <si>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</si>
  <si>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</si>
  <si>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</si>
  <si>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</si>
  <si>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</si>
  <si>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</si>
  <si>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</si>
  <si>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</si>
  <si>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</si>
  <si>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</si>
  <si>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</si>
  <si>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</si>
  <si>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</si>
  <si>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</si>
  <si>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</si>
  <si>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</si>
  <si>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</si>
  <si>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</si>
  <si>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</si>
  <si>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</si>
  <si>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</si>
  <si>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</si>
  <si>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</si>
  <si>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</si>
  <si>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</si>
  <si>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</si>
  <si>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</si>
  <si>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</si>
  <si>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</si>
  <si>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</si>
  <si>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</si>
  <si>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</si>
  <si>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</si>
  <si>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</si>
  <si>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</si>
  <si>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</si>
  <si>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</si>
  <si>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</si>
  <si>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</si>
  <si>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</si>
  <si>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</si>
  <si>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</si>
  <si>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</si>
  <si>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</si>
  <si>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</si>
  <si>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</si>
  <si>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</si>
  <si>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</si>
  <si>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</si>
  <si>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</si>
  <si>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</si>
  <si>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</si>
  <si>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</si>
  <si>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</si>
  <si>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</si>
  <si>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</si>
  <si>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</si>
  <si>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</si>
  <si>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</si>
  <si>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</si>
  <si>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</si>
  <si>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</si>
  <si>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</si>
  <si>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</si>
  <si>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</si>
  <si>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</si>
  <si>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</si>
  <si>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</si>
  <si>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</si>
  <si>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</si>
  <si>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</si>
  <si>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</si>
  <si>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</si>
  <si>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</si>
  <si>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</si>
  <si>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</si>
  <si>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</si>
  <si>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</si>
  <si>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</si>
  <si>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</si>
  <si>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</si>
  <si>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</si>
  <si>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</si>
  <si>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</si>
  <si>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</si>
  <si>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</si>
  <si>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</si>
  <si>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</si>
  <si>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</si>
  <si>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</si>
  <si>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</si>
  <si>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</si>
  <si>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</si>
  <si>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</si>
  <si>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</si>
  <si>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</si>
  <si>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</si>
  <si>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</si>
  <si>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</si>
  <si>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</si>
  <si>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</si>
  <si>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</si>
  <si>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</si>
  <si>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</si>
  <si>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</si>
  <si>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</si>
  <si>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</si>
  <si>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</si>
  <si>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</si>
  <si>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</si>
  <si>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</si>
  <si>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</si>
  <si>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</si>
  <si>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</si>
  <si>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</si>
  <si>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</si>
  <si>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</si>
  <si>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</si>
  <si>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</si>
  <si>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</si>
  <si>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</si>
  <si>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</si>
  <si>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</si>
  <si>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</si>
  <si>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</si>
  <si>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</si>
  <si>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</si>
  <si>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</si>
  <si>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</si>
  <si>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</si>
  <si>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</si>
  <si>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</si>
  <si>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</si>
  <si>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</si>
  <si>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</si>
  <si>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</si>
  <si>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</si>
  <si>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</si>
  <si>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</si>
  <si>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</si>
  <si>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</si>
  <si>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</si>
  <si>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</si>
  <si>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</si>
  <si>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</si>
  <si>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</si>
  <si>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</si>
  <si>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</si>
  <si>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</si>
  <si>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</si>
  <si>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</si>
  <si>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</si>
  <si>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</si>
  <si>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</si>
  <si>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</si>
  <si>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</si>
  <si>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</si>
  <si>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</si>
  <si>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</si>
  <si>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</si>
  <si>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</si>
  <si>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</si>
  <si>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</si>
  <si>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</si>
  <si>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</si>
  <si>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</si>
  <si>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</si>
  <si>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</si>
  <si>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</si>
  <si>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</si>
  <si>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</si>
  <si>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</si>
  <si>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</si>
  <si>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</si>
  <si>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</si>
  <si>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</si>
  <si>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</si>
  <si>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</si>
  <si>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</si>
  <si>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</si>
  <si>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</si>
  <si>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</si>
  <si>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</si>
  <si>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</si>
  <si>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</si>
  <si>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</si>
  <si>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</si>
  <si>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</si>
  <si>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</si>
  <si>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</si>
  <si>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</si>
  <si>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</si>
  <si>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</si>
  <si>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</si>
  <si>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</si>
  <si>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</si>
  <si>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</si>
  <si>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</si>
  <si>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</si>
  <si>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</si>
  <si>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</si>
  <si>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</si>
  <si>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</si>
  <si>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</si>
  <si>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</si>
  <si>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</si>
  <si>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</si>
  <si>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</si>
  <si>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</si>
  <si>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</si>
  <si>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</si>
  <si>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</si>
  <si>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</si>
  <si>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</si>
  <si>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</si>
  <si>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</si>
  <si>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</si>
  <si>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</si>
  <si>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</si>
  <si>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</si>
  <si>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</si>
  <si>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</si>
  <si>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</si>
  <si>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</si>
  <si>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</si>
  <si>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</si>
  <si>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</si>
  <si>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</si>
  <si>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</si>
  <si>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</si>
  <si>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</si>
  <si>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</si>
  <si>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</si>
  <si>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</si>
  <si>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</si>
  <si>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</si>
  <si>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</si>
  <si>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</si>
  <si>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</si>
  <si>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</si>
  <si>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</si>
  <si>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</si>
  <si>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</si>
  <si>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</si>
  <si>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</si>
  <si>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</si>
  <si>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</si>
  <si>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</si>
  <si>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</si>
  <si>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</si>
  <si>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</si>
  <si>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</si>
  <si>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</si>
  <si>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</si>
  <si>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</si>
  <si>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</si>
  <si>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</si>
  <si>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</si>
  <si>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</si>
  <si>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</si>
  <si>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</si>
  <si>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</si>
  <si>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</si>
  <si>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</si>
  <si>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</si>
  <si>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</si>
  <si>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</si>
  <si>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</si>
  <si>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</si>
  <si>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</si>
  <si>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</si>
  <si>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</si>
  <si>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</si>
  <si>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</si>
  <si>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</si>
  <si>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</si>
  <si>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</si>
  <si>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</si>
  <si>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</si>
  <si>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</si>
  <si>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</si>
  <si>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</si>
  <si>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</si>
  <si>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</si>
  <si>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</si>
  <si>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</si>
  <si>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</si>
  <si>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</si>
  <si>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</si>
  <si>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</si>
  <si>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</si>
  <si>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</si>
  <si>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</si>
  <si>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</si>
  <si>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</si>
  <si>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</si>
  <si>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</si>
  <si>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</si>
  <si>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</si>
  <si>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</si>
  <si>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</si>
  <si>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</si>
  <si>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</si>
  <si>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</si>
  <si>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</si>
  <si>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</si>
  <si>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</si>
  <si>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</si>
  <si>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</si>
  <si>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</si>
  <si>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</si>
  <si>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</si>
  <si>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</si>
  <si>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</si>
  <si>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</si>
  <si>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</si>
  <si>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</si>
  <si>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</si>
  <si>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</si>
  <si>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</si>
  <si>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</si>
  <si>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</si>
  <si>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</si>
  <si>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</si>
  <si>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</si>
  <si>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</si>
  <si>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</si>
  <si>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</si>
  <si>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</si>
  <si>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</si>
  <si>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</si>
  <si>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</si>
  <si>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</si>
  <si>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</si>
  <si>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</si>
  <si>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</si>
  <si>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</si>
  <si>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</si>
  <si>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</si>
  <si>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</si>
  <si>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</si>
  <si>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</si>
  <si>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</si>
  <si>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</si>
  <si>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</si>
  <si>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</si>
  <si>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</si>
  <si>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</si>
  <si>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</si>
  <si>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</si>
  <si>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</si>
  <si>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</si>
  <si>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</si>
  <si>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</si>
  <si>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</si>
  <si>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</si>
  <si>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</si>
  <si>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</si>
  <si>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</si>
  <si>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</si>
  <si>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</si>
  <si>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</si>
  <si>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</si>
  <si>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</si>
  <si>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</si>
  <si>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</si>
  <si>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</si>
  <si>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</si>
  <si>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</si>
  <si>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</si>
  <si>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</si>
  <si>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</si>
  <si>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</si>
  <si>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</si>
  <si>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</si>
  <si>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</si>
  <si>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</si>
  <si>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</si>
  <si>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</si>
  <si>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</si>
  <si>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</si>
  <si>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</si>
  <si>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</si>
  <si>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</si>
  <si>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</si>
  <si>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</si>
  <si>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</si>
  <si>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</si>
  <si>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 xml:space="preserve">- Egyesített Közművelődési Központ és Könyvtár 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</si>
  <si>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</si>
  <si>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</si>
  <si>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</si>
  <si>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</si>
  <si>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</si>
  <si>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</si>
  <si>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</si>
  <si>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</si>
  <si>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</si>
  <si>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</si>
  <si>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</si>
  <si>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</si>
  <si>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</si>
  <si>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</si>
  <si>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</si>
  <si>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</si>
  <si>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</si>
  <si>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</si>
  <si>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</si>
  <si>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</si>
  <si>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</si>
  <si>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</si>
  <si>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</si>
  <si>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</si>
  <si>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</si>
  <si>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</si>
  <si>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</si>
  <si>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</si>
  <si>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</si>
  <si>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</si>
  <si>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</si>
  <si>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</si>
  <si>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</si>
  <si>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</si>
  <si>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</si>
  <si>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</si>
  <si>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</si>
  <si>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</si>
  <si>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</si>
  <si>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</si>
  <si>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</si>
  <si>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</si>
  <si>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</si>
  <si>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</si>
  <si>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</si>
  <si>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</si>
  <si>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</si>
  <si>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</si>
  <si>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</si>
  <si>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</si>
  <si>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</si>
  <si>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</si>
  <si>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</si>
  <si>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</si>
  <si>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</si>
  <si>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</si>
  <si>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</si>
  <si>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</si>
  <si>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</si>
  <si>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</si>
  <si>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</si>
  <si>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</si>
  <si>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</si>
  <si>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</si>
  <si>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</si>
  <si>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</si>
  <si>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</si>
  <si>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</si>
  <si>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</si>
  <si>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</si>
  <si>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</si>
  <si>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</si>
  <si>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</si>
  <si>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</si>
  <si>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</si>
  <si>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</si>
  <si>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</si>
  <si>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</si>
  <si>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</si>
  <si>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</si>
  <si>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</si>
  <si>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</si>
  <si>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</si>
  <si>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</si>
  <si>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</si>
  <si>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</si>
  <si>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</si>
  <si>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</si>
  <si>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</si>
  <si>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</si>
  <si>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</si>
  <si>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</si>
  <si>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</si>
  <si>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</si>
  <si>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</si>
  <si>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</si>
  <si>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</si>
  <si>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</si>
  <si>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</si>
  <si>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</si>
  <si>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</si>
  <si>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</si>
  <si>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Tiszavasvári gyermekorvosi körzet eszközbeszerzés (számítógép, szoftver, egyéb eszközök)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</si>
  <si>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</si>
  <si>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</si>
  <si>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</si>
  <si>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</si>
  <si>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</si>
  <si>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</si>
  <si>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</si>
  <si>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</si>
  <si>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</si>
  <si>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</si>
  <si>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</si>
  <si>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</si>
  <si>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</si>
  <si>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</si>
  <si>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év utáni szükséglet
(6=2 - 4 - 5)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</si>
  <si>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</si>
  <si>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</si>
  <si>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</si>
  <si>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</si>
  <si>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</si>
  <si>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</si>
  <si>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</si>
  <si>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</si>
  <si>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</si>
  <si>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</si>
  <si>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</si>
  <si>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</si>
  <si>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</si>
  <si>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</si>
  <si>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</si>
  <si>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</si>
  <si>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</si>
  <si>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</si>
  <si>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</si>
  <si>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</si>
  <si>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</si>
  <si>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</si>
  <si>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</si>
  <si>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</si>
  <si>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</si>
  <si>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</si>
  <si>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</si>
  <si>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</si>
  <si>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A települési önkormányzatok működésének általános támogatása 1.1. = (1+….+7)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</si>
  <si>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</si>
  <si>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</si>
  <si>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</si>
  <si>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</si>
  <si>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</si>
  <si>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1.2.3.1.1.1.1.</t>
  </si>
  <si>
    <t>1.2.3.1.1.1.2.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</si>
  <si>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</si>
  <si>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</si>
  <si>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</si>
  <si>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</si>
  <si>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</si>
  <si>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</si>
  <si>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</si>
  <si>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</si>
  <si>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</si>
  <si>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</si>
  <si>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</si>
  <si>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</si>
  <si>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</si>
  <si>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</si>
  <si>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</si>
  <si>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</si>
  <si>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</si>
  <si>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</si>
  <si>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</si>
  <si>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1.3.2.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</si>
  <si>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</si>
  <si>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</si>
  <si>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</si>
  <si>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</si>
  <si>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</si>
  <si>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</si>
  <si>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</si>
  <si>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</si>
  <si>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Egyes szociális és gyermekjóléti feladatok támogatása 1.3.2=(16.+…+23.)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</si>
  <si>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</si>
  <si>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</si>
  <si>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</si>
  <si>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</si>
  <si>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</si>
  <si>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</si>
  <si>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</si>
  <si>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</si>
  <si>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</si>
  <si>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</si>
  <si>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</si>
  <si>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</si>
  <si>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</si>
  <si>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</si>
  <si>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</si>
  <si>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</si>
  <si>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</si>
  <si>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</si>
  <si>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</si>
  <si>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</si>
  <si>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</si>
  <si>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</si>
  <si>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A települési önkormányzatok gyermekétkeztetési feladatainak támogatása 1.4.=(33.+34.+35.)</t>
  </si>
  <si>
    <t>A települési önkormányzatok szociális és gyermekjóléti feladatainak támogatása 1.3.=(15.+24.+28.+31.)</t>
  </si>
  <si>
    <t>1.5.2.</t>
  </si>
  <si>
    <t>37.</t>
  </si>
  <si>
    <t>38.</t>
  </si>
  <si>
    <t>Települési önkormányzatok nyilvános könyvtári és a közművelődési feladatainak támogatása</t>
  </si>
  <si>
    <t>A települési önkormányzatok kulturális feladatainak támogatása 1.5.=(37.)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</si>
  <si>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</si>
  <si>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</si>
  <si>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</si>
  <si>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</si>
  <si>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</si>
  <si>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</si>
  <si>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</si>
  <si>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</si>
  <si>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</si>
  <si>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</si>
  <si>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</si>
  <si>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A települési önkormányzatok egyes köznevelési feladatainak támogatása 1.2. = (9.+...+13.)</t>
  </si>
  <si>
    <t>40.</t>
  </si>
  <si>
    <t>41.</t>
  </si>
  <si>
    <t>42.</t>
  </si>
  <si>
    <t>43.</t>
  </si>
  <si>
    <t>44.</t>
  </si>
  <si>
    <t>Összesen: 44.=(9.+15.+35.+39.+42.+43.)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</si>
  <si>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</si>
  <si>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</si>
  <si>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</si>
  <si>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</si>
  <si>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</si>
  <si>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2021. évi fejlesztési pályázat (út és járda felújítás)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</si>
  <si>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</si>
  <si>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</si>
  <si>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</si>
  <si>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</si>
  <si>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</si>
  <si>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</si>
  <si>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</si>
  <si>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</si>
  <si>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</si>
  <si>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</si>
  <si>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</si>
  <si>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</si>
  <si>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</si>
  <si>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</si>
  <si>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</si>
  <si>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</si>
  <si>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</si>
  <si>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</si>
  <si>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</si>
  <si>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</si>
  <si>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</si>
  <si>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</si>
  <si>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</si>
  <si>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</si>
  <si>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</si>
  <si>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2021. év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</si>
  <si>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</si>
  <si>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</si>
  <si>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</si>
  <si>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</si>
  <si>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</si>
  <si>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</si>
  <si>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</si>
  <si>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</si>
  <si>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</si>
  <si>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</si>
  <si>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</si>
  <si>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</si>
  <si>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</si>
  <si>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</si>
  <si>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</si>
  <si>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</si>
  <si>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</si>
  <si>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</si>
  <si>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>- Városi Kincstár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</si>
  <si>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</si>
  <si>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</si>
  <si>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</si>
  <si>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</si>
  <si>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</si>
  <si>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</si>
  <si>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</si>
  <si>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</si>
  <si>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</si>
  <si>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</si>
  <si>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</si>
  <si>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</si>
  <si>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</si>
  <si>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II.15.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</si>
</sst>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4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</borders>
  <cellStyleXfs count="7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2" fillId="0" borderId="0" applyFont="0" applyFill="0" applyBorder="0" applyAlignment="0" applyProtection="0"/>
    <xf numFmtId="164" fontId="6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47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8" fillId="0" borderId="0"/>
    <xf numFmtId="0" fontId="62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8" fillId="0" borderId="0"/>
    <xf numFmtId="0" fontId="48" fillId="0" borderId="0"/>
    <xf numFmtId="0" fontId="18" fillId="0" borderId="0"/>
    <xf numFmtId="0" fontId="52" fillId="0" borderId="0"/>
    <xf numFmtId="0" fontId="48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17" fillId="0" borderId="0"/>
    <xf numFmtId="0" fontId="47" fillId="0" borderId="0"/>
    <xf numFmtId="0" fontId="7" fillId="0" borderId="0"/>
    <xf numFmtId="164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81">
    <xf numFmtId="0" fontId="0" fillId="0" borderId="0" xfId="0"/>
    <xf numFmtId="165" fontId="9" fillId="0" borderId="0" xfId="0" applyNumberFormat="1" applyFont="1" applyFill="1" applyAlignment="1">
      <alignment vertical="center" wrapText="1"/>
    </xf>
    <xf numFmtId="0" fontId="13" fillId="0" borderId="0" xfId="21" applyFont="1" applyFill="1" applyBorder="1" applyAlignment="1" applyProtection="1">
      <alignment horizontal="center" vertical="center" wrapText="1"/>
    </xf>
    <xf numFmtId="0" fontId="13" fillId="0" borderId="0" xfId="21" applyFont="1" applyFill="1" applyBorder="1" applyAlignment="1" applyProtection="1">
      <alignment vertical="center" wrapText="1"/>
    </xf>
    <xf numFmtId="0" fontId="27" fillId="0" borderId="1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4" xfId="21" applyFont="1" applyFill="1" applyBorder="1" applyAlignment="1" applyProtection="1">
      <alignment horizontal="left" vertical="center" wrapText="1" indent="1"/>
    </xf>
    <xf numFmtId="0" fontId="27" fillId="0" borderId="5" xfId="21" applyFont="1" applyFill="1" applyBorder="1" applyAlignment="1" applyProtection="1">
      <alignment horizontal="left" vertical="center" wrapText="1" indent="1"/>
    </xf>
    <xf numFmtId="0" fontId="27" fillId="0" borderId="6" xfId="21" applyFont="1" applyFill="1" applyBorder="1" applyAlignment="1" applyProtection="1">
      <alignment horizontal="left" vertical="center" wrapText="1" indent="1"/>
    </xf>
    <xf numFmtId="49" fontId="27" fillId="0" borderId="7" xfId="21" applyNumberFormat="1" applyFont="1" applyFill="1" applyBorder="1" applyAlignment="1" applyProtection="1">
      <alignment horizontal="left" vertical="center" wrapText="1" indent="1"/>
    </xf>
    <xf numFmtId="49" fontId="27" fillId="0" borderId="8" xfId="21" applyNumberFormat="1" applyFont="1" applyFill="1" applyBorder="1" applyAlignment="1" applyProtection="1">
      <alignment horizontal="left" vertical="center" wrapText="1" indent="1"/>
    </xf>
    <xf numFmtId="49" fontId="27" fillId="0" borderId="9" xfId="21" applyNumberFormat="1" applyFont="1" applyFill="1" applyBorder="1" applyAlignment="1" applyProtection="1">
      <alignment horizontal="left" vertical="center" wrapText="1" indent="1"/>
    </xf>
    <xf numFmtId="49" fontId="27" fillId="0" borderId="10" xfId="21" applyNumberFormat="1" applyFont="1" applyFill="1" applyBorder="1" applyAlignment="1" applyProtection="1">
      <alignment horizontal="left" vertical="center" wrapText="1" indent="1"/>
    </xf>
    <xf numFmtId="49" fontId="27" fillId="0" borderId="11" xfId="21" applyNumberFormat="1" applyFont="1" applyFill="1" applyBorder="1" applyAlignment="1" applyProtection="1">
      <alignment horizontal="left" vertical="center" wrapText="1" indent="1"/>
    </xf>
    <xf numFmtId="49" fontId="27" fillId="0" borderId="12" xfId="21" applyNumberFormat="1" applyFont="1" applyFill="1" applyBorder="1" applyAlignment="1" applyProtection="1">
      <alignment horizontal="left" vertical="center" wrapText="1" indent="1"/>
    </xf>
    <xf numFmtId="0" fontId="27" fillId="0" borderId="0" xfId="21" applyFont="1" applyFill="1" applyBorder="1" applyAlignment="1" applyProtection="1">
      <alignment horizontal="left" vertical="center" wrapText="1" indent="1"/>
    </xf>
    <xf numFmtId="0" fontId="25" fillId="0" borderId="13" xfId="21" applyFont="1" applyFill="1" applyBorder="1" applyAlignment="1" applyProtection="1">
      <alignment horizontal="left" vertical="center" wrapText="1" indent="1"/>
    </xf>
    <xf numFmtId="0" fontId="25" fillId="0" borderId="14" xfId="21" applyFont="1" applyFill="1" applyBorder="1" applyAlignment="1" applyProtection="1">
      <alignment horizontal="left" vertical="center" wrapText="1" indent="1"/>
    </xf>
    <xf numFmtId="0" fontId="25" fillId="0" borderId="15" xfId="21" applyFont="1" applyFill="1" applyBorder="1" applyAlignment="1" applyProtection="1">
      <alignment horizontal="left" vertical="center" wrapText="1" indent="1"/>
    </xf>
    <xf numFmtId="0" fontId="14" fillId="0" borderId="13" xfId="21" applyFont="1" applyFill="1" applyBorder="1" applyAlignment="1" applyProtection="1">
      <alignment horizontal="center" vertical="center" wrapText="1"/>
    </xf>
    <xf numFmtId="0" fontId="14" fillId="0" borderId="14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vertical="center" wrapText="1"/>
    </xf>
    <xf numFmtId="0" fontId="25" fillId="0" borderId="16" xfId="21" applyFont="1" applyFill="1" applyBorder="1" applyAlignment="1" applyProtection="1">
      <alignment vertical="center" wrapText="1"/>
    </xf>
    <xf numFmtId="0" fontId="34" fillId="0" borderId="6" xfId="0" applyFont="1" applyBorder="1" applyAlignment="1" applyProtection="1">
      <alignment horizontal="left" vertical="center" indent="1"/>
      <protection locked="0"/>
    </xf>
    <xf numFmtId="0" fontId="25" fillId="0" borderId="13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horizontal="center" vertical="center" wrapText="1"/>
    </xf>
    <xf numFmtId="0" fontId="25" fillId="0" borderId="19" xfId="21" applyFont="1" applyFill="1" applyBorder="1" applyAlignment="1" applyProtection="1">
      <alignment horizontal="center" vertical="center" wrapText="1"/>
    </xf>
    <xf numFmtId="0" fontId="14" fillId="0" borderId="14" xfId="23" applyFont="1" applyFill="1" applyBorder="1" applyAlignment="1" applyProtection="1">
      <alignment horizontal="left" vertical="center" indent="1"/>
    </xf>
    <xf numFmtId="0" fontId="14" fillId="0" borderId="19" xfId="21" applyFont="1" applyFill="1" applyBorder="1" applyAlignment="1" applyProtection="1">
      <alignment horizontal="center" vertical="center" wrapText="1"/>
    </xf>
    <xf numFmtId="165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3" fillId="0" borderId="0" xfId="0" applyFont="1" applyFill="1" applyAlignment="1">
      <alignment horizontal="center" vertical="center" wrapText="1"/>
    </xf>
    <xf numFmtId="165" fontId="16" fillId="0" borderId="0" xfId="0" applyNumberFormat="1" applyFont="1" applyFill="1" applyAlignment="1">
      <alignment vertical="center" wrapText="1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3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8" fillId="0" borderId="0" xfId="23" applyFill="1" applyProtection="1"/>
    <xf numFmtId="0" fontId="27" fillId="0" borderId="13" xfId="23" applyFont="1" applyFill="1" applyBorder="1" applyAlignment="1" applyProtection="1">
      <alignment horizontal="left" vertical="center" indent="1"/>
    </xf>
    <xf numFmtId="0" fontId="18" fillId="0" borderId="0" xfId="23" applyFill="1" applyAlignment="1" applyProtection="1">
      <alignment vertical="center"/>
    </xf>
    <xf numFmtId="0" fontId="27" fillId="0" borderId="7" xfId="23" applyFont="1" applyFill="1" applyBorder="1" applyAlignment="1" applyProtection="1">
      <alignment horizontal="left" vertical="center" indent="1"/>
    </xf>
    <xf numFmtId="0" fontId="27" fillId="0" borderId="8" xfId="23" applyFont="1" applyFill="1" applyBorder="1" applyAlignment="1" applyProtection="1">
      <alignment horizontal="left" vertical="center" indent="1"/>
    </xf>
    <xf numFmtId="165" fontId="27" fillId="0" borderId="2" xfId="23" applyNumberFormat="1" applyFont="1" applyFill="1" applyBorder="1" applyAlignment="1" applyProtection="1">
      <alignment vertical="center"/>
      <protection locked="0"/>
    </xf>
    <xf numFmtId="0" fontId="18" fillId="0" borderId="0" xfId="23" applyFill="1" applyAlignment="1" applyProtection="1">
      <alignment vertical="center"/>
      <protection locked="0"/>
    </xf>
    <xf numFmtId="165" fontId="25" fillId="0" borderId="14" xfId="23" applyNumberFormat="1" applyFont="1" applyFill="1" applyBorder="1" applyAlignment="1" applyProtection="1">
      <alignment vertical="center"/>
    </xf>
    <xf numFmtId="0" fontId="25" fillId="0" borderId="13" xfId="23" applyFont="1" applyFill="1" applyBorder="1" applyAlignment="1" applyProtection="1">
      <alignment horizontal="left" vertical="center" indent="1"/>
    </xf>
    <xf numFmtId="165" fontId="25" fillId="0" borderId="14" xfId="23" applyNumberFormat="1" applyFont="1" applyFill="1" applyBorder="1" applyProtection="1"/>
    <xf numFmtId="0" fontId="21" fillId="0" borderId="0" xfId="23" applyFont="1" applyFill="1" applyProtection="1"/>
    <xf numFmtId="0" fontId="39" fillId="0" borderId="0" xfId="23" applyFont="1" applyFill="1" applyProtection="1">
      <protection locked="0"/>
    </xf>
    <xf numFmtId="0" fontId="29" fillId="0" borderId="0" xfId="23" applyFont="1" applyFill="1" applyProtection="1">
      <protection locked="0"/>
    </xf>
    <xf numFmtId="3" fontId="1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4" xfId="21" applyFont="1" applyFill="1" applyBorder="1" applyAlignment="1" applyProtection="1">
      <alignment horizontal="left" vertical="center" wrapText="1" indent="1"/>
    </xf>
    <xf numFmtId="165" fontId="33" fillId="0" borderId="13" xfId="0" applyNumberFormat="1" applyFont="1" applyFill="1" applyBorder="1" applyAlignment="1" applyProtection="1">
      <alignment horizontal="left" vertical="center" wrapText="1" indent="1"/>
    </xf>
    <xf numFmtId="0" fontId="12" fillId="0" borderId="24" xfId="0" applyFont="1" applyFill="1" applyBorder="1" applyAlignment="1" applyProtection="1">
      <alignment horizontal="right"/>
    </xf>
    <xf numFmtId="0" fontId="34" fillId="0" borderId="25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indent="6"/>
    </xf>
    <xf numFmtId="0" fontId="27" fillId="0" borderId="2" xfId="21" applyFont="1" applyFill="1" applyBorder="1" applyAlignment="1" applyProtection="1">
      <alignment horizontal="left" vertical="center" wrapText="1" indent="6"/>
    </xf>
    <xf numFmtId="0" fontId="27" fillId="0" borderId="6" xfId="21" applyFont="1" applyFill="1" applyBorder="1" applyAlignment="1" applyProtection="1">
      <alignment horizontal="left" vertical="center" wrapText="1" indent="6"/>
    </xf>
    <xf numFmtId="0" fontId="27" fillId="0" borderId="21" xfId="21" applyFont="1" applyFill="1" applyBorder="1" applyAlignment="1" applyProtection="1">
      <alignment horizontal="left" vertical="center" wrapText="1" indent="6"/>
    </xf>
    <xf numFmtId="0" fontId="17" fillId="0" borderId="0" xfId="0" applyFont="1" applyFill="1" applyBorder="1" applyAlignment="1" applyProtection="1"/>
    <xf numFmtId="0" fontId="28" fillId="0" borderId="0" xfId="0" applyFont="1" applyFill="1" applyBorder="1" applyAlignment="1" applyProtection="1">
      <alignment horizontal="right"/>
    </xf>
    <xf numFmtId="0" fontId="33" fillId="0" borderId="11" xfId="21" applyFont="1" applyFill="1" applyBorder="1" applyAlignment="1" applyProtection="1">
      <alignment horizontal="center" vertical="center" wrapText="1"/>
    </xf>
    <xf numFmtId="0" fontId="33" fillId="0" borderId="4" xfId="21" applyFont="1" applyFill="1" applyBorder="1" applyAlignment="1" applyProtection="1">
      <alignment horizontal="center" vertical="center" wrapText="1"/>
    </xf>
    <xf numFmtId="0" fontId="33" fillId="0" borderId="17" xfId="21" applyFont="1" applyFill="1" applyBorder="1" applyAlignment="1" applyProtection="1">
      <alignment horizontal="center" vertical="center" wrapText="1"/>
    </xf>
    <xf numFmtId="0" fontId="34" fillId="0" borderId="11" xfId="21" applyFont="1" applyFill="1" applyBorder="1" applyAlignment="1" applyProtection="1">
      <alignment horizontal="center" vertical="center"/>
    </xf>
    <xf numFmtId="0" fontId="34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4" fillId="0" borderId="13" xfId="0" applyNumberFormat="1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center" vertical="center" wrapText="1"/>
    </xf>
    <xf numFmtId="0" fontId="25" fillId="0" borderId="19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1" fillId="8" borderId="27" xfId="0" applyNumberFormat="1" applyFont="1" applyFill="1" applyBorder="1" applyAlignment="1" applyProtection="1">
      <alignment horizontal="left" vertical="center" wrapText="1" indent="2"/>
    </xf>
    <xf numFmtId="165" fontId="9" fillId="0" borderId="0" xfId="0" applyNumberFormat="1" applyFont="1" applyFill="1" applyAlignment="1" applyProtection="1">
      <alignment horizontal="left" vertical="center" wrapText="1"/>
    </xf>
    <xf numFmtId="165" fontId="9" fillId="0" borderId="0" xfId="0" applyNumberFormat="1" applyFont="1" applyFill="1" applyAlignment="1" applyProtection="1">
      <alignment vertical="center" wrapText="1"/>
    </xf>
    <xf numFmtId="165" fontId="24" fillId="0" borderId="0" xfId="0" applyNumberFormat="1" applyFont="1" applyFill="1" applyAlignment="1" applyProtection="1">
      <alignment vertical="center" wrapText="1"/>
    </xf>
    <xf numFmtId="0" fontId="14" fillId="0" borderId="29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right"/>
    </xf>
    <xf numFmtId="0" fontId="14" fillId="0" borderId="16" xfId="0" applyFont="1" applyFill="1" applyBorder="1" applyAlignment="1" applyProtection="1">
      <alignment horizontal="center" vertical="center" wrapText="1"/>
    </xf>
    <xf numFmtId="0" fontId="14" fillId="0" borderId="28" xfId="0" applyFont="1" applyFill="1" applyBorder="1" applyAlignment="1" applyProtection="1">
      <alignment horizontal="center" vertical="center" wrapText="1"/>
    </xf>
    <xf numFmtId="0" fontId="14" fillId="0" borderId="30" xfId="0" applyFont="1" applyFill="1" applyBorder="1" applyAlignment="1" applyProtection="1">
      <alignment horizontal="center" vertical="center" wrapText="1"/>
    </xf>
    <xf numFmtId="0" fontId="14" fillId="0" borderId="31" xfId="0" applyFont="1" applyFill="1" applyBorder="1" applyAlignment="1" applyProtection="1">
      <alignment horizontal="center" vertical="center" wrapText="1"/>
    </xf>
    <xf numFmtId="165" fontId="14" fillId="0" borderId="32" xfId="0" applyNumberFormat="1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left" vertical="center" wrapText="1" indent="1"/>
    </xf>
    <xf numFmtId="0" fontId="32" fillId="0" borderId="13" xfId="0" applyFont="1" applyBorder="1" applyAlignment="1" applyProtection="1">
      <alignment horizontal="center" vertical="center" wrapText="1"/>
    </xf>
    <xf numFmtId="0" fontId="42" fillId="0" borderId="33" xfId="0" applyFont="1" applyBorder="1" applyAlignment="1" applyProtection="1">
      <alignment horizontal="left" wrapText="1" indent="1"/>
    </xf>
    <xf numFmtId="0" fontId="27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wrapText="1" indent="1"/>
    </xf>
    <xf numFmtId="0" fontId="27" fillId="0" borderId="0" xfId="0" applyFont="1" applyFill="1" applyAlignment="1" applyProtection="1">
      <alignment horizontal="left" vertical="center" wrapText="1"/>
    </xf>
    <xf numFmtId="0" fontId="27" fillId="0" borderId="0" xfId="0" applyFont="1" applyFill="1" applyAlignment="1" applyProtection="1">
      <alignment vertical="center" wrapText="1"/>
    </xf>
    <xf numFmtId="0" fontId="25" fillId="0" borderId="34" xfId="0" applyFont="1" applyFill="1" applyBorder="1" applyAlignment="1" applyProtection="1">
      <alignment horizontal="center" vertical="center" wrapText="1"/>
    </xf>
    <xf numFmtId="0" fontId="14" fillId="0" borderId="35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0" fillId="0" borderId="13" xfId="0" applyFont="1" applyFill="1" applyBorder="1" applyAlignment="1" applyProtection="1">
      <alignment horizontal="left" vertical="center"/>
    </xf>
    <xf numFmtId="0" fontId="10" fillId="0" borderId="33" xfId="0" applyFont="1" applyFill="1" applyBorder="1" applyAlignment="1" applyProtection="1">
      <alignment vertical="center" wrapText="1"/>
    </xf>
    <xf numFmtId="0" fontId="43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2" xfId="23" applyFont="1" applyFill="1" applyBorder="1" applyAlignment="1" applyProtection="1">
      <alignment horizontal="left" vertical="center" indent="1"/>
    </xf>
    <xf numFmtId="0" fontId="27" fillId="0" borderId="3" xfId="23" applyFont="1" applyFill="1" applyBorder="1" applyAlignment="1" applyProtection="1">
      <alignment horizontal="left" vertical="center" wrapText="1" indent="1"/>
    </xf>
    <xf numFmtId="0" fontId="27" fillId="0" borderId="2" xfId="23" applyFont="1" applyFill="1" applyBorder="1" applyAlignment="1" applyProtection="1">
      <alignment horizontal="left" vertical="center" wrapText="1" indent="1"/>
    </xf>
    <xf numFmtId="0" fontId="14" fillId="0" borderId="14" xfId="23" applyFont="1" applyFill="1" applyBorder="1" applyAlignment="1" applyProtection="1">
      <alignment horizontal="left" indent="1"/>
    </xf>
    <xf numFmtId="0" fontId="32" fillId="0" borderId="14" xfId="0" applyFont="1" applyBorder="1" applyAlignment="1" applyProtection="1">
      <alignment horizontal="left" vertical="center" wrapText="1" indent="1"/>
    </xf>
    <xf numFmtId="0" fontId="31" fillId="0" borderId="2" xfId="0" applyFont="1" applyBorder="1" applyAlignment="1" applyProtection="1">
      <alignment horizontal="left" vertical="center" wrapText="1" indent="1"/>
    </xf>
    <xf numFmtId="0" fontId="31" fillId="0" borderId="6" xfId="0" applyFont="1" applyBorder="1" applyAlignment="1" applyProtection="1">
      <alignment horizontal="left" vertical="center" wrapText="1" indent="1"/>
    </xf>
    <xf numFmtId="0" fontId="32" fillId="0" borderId="39" xfId="0" applyFont="1" applyBorder="1" applyAlignment="1" applyProtection="1">
      <alignment horizontal="left" vertical="center" wrapText="1" indent="1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13" fillId="0" borderId="0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Border="1" applyAlignment="1" applyProtection="1">
      <alignment horizontal="right" vertical="center" wrapText="1" indent="1"/>
    </xf>
    <xf numFmtId="0" fontId="12" fillId="0" borderId="24" xfId="0" applyFont="1" applyFill="1" applyBorder="1" applyAlignment="1" applyProtection="1">
      <alignment horizontal="right" vertical="center"/>
    </xf>
    <xf numFmtId="165" fontId="33" fillId="0" borderId="14" xfId="0" applyNumberFormat="1" applyFont="1" applyFill="1" applyBorder="1" applyAlignment="1" applyProtection="1">
      <alignment horizontal="right" vertical="center" wrapText="1" indent="1"/>
    </xf>
    <xf numFmtId="165" fontId="34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13" xfId="0" applyNumberFormat="1" applyFont="1" applyFill="1" applyBorder="1" applyAlignment="1" applyProtection="1">
      <alignment horizontal="centerContinuous" vertical="center" wrapText="1"/>
    </xf>
    <xf numFmtId="165" fontId="14" fillId="0" borderId="14" xfId="0" applyNumberFormat="1" applyFont="1" applyFill="1" applyBorder="1" applyAlignment="1" applyProtection="1">
      <alignment horizontal="centerContinuous" vertical="center" wrapText="1"/>
    </xf>
    <xf numFmtId="165" fontId="14" fillId="0" borderId="19" xfId="0" applyNumberFormat="1" applyFont="1" applyFill="1" applyBorder="1" applyAlignment="1" applyProtection="1">
      <alignment horizontal="centerContinuous" vertical="center" wrapText="1"/>
    </xf>
    <xf numFmtId="165" fontId="10" fillId="0" borderId="0" xfId="0" applyNumberFormat="1" applyFont="1" applyFill="1" applyAlignment="1" applyProtection="1">
      <alignment horizontal="center" vertical="center" wrapText="1"/>
    </xf>
    <xf numFmtId="165" fontId="33" fillId="0" borderId="27" xfId="0" applyNumberFormat="1" applyFont="1" applyFill="1" applyBorder="1" applyAlignment="1" applyProtection="1">
      <alignment horizontal="center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165" fontId="33" fillId="0" borderId="14" xfId="0" applyNumberFormat="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33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7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38" fillId="0" borderId="2" xfId="0" applyNumberFormat="1" applyFont="1" applyFill="1" applyBorder="1" applyAlignment="1" applyProtection="1">
      <alignment horizontal="right" vertical="center" wrapText="1" indent="1"/>
    </xf>
    <xf numFmtId="165" fontId="36" fillId="0" borderId="13" xfId="0" applyNumberFormat="1" applyFont="1" applyFill="1" applyBorder="1" applyAlignment="1" applyProtection="1">
      <alignment horizontal="left" vertical="center" wrapText="1" inden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8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2"/>
    </xf>
    <xf numFmtId="165" fontId="34" fillId="0" borderId="2" xfId="0" applyNumberFormat="1" applyFont="1" applyFill="1" applyBorder="1" applyAlignment="1" applyProtection="1">
      <alignment horizontal="left" vertical="center" wrapText="1" indent="2"/>
    </xf>
    <xf numFmtId="165" fontId="38" fillId="0" borderId="2" xfId="0" applyNumberFormat="1" applyFont="1" applyFill="1" applyBorder="1" applyAlignment="1" applyProtection="1">
      <alignment horizontal="left" vertical="center" wrapText="1" indent="1"/>
    </xf>
    <xf numFmtId="165" fontId="34" fillId="0" borderId="9" xfId="0" applyNumberFormat="1" applyFon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2"/>
    </xf>
    <xf numFmtId="165" fontId="27" fillId="0" borderId="10" xfId="0" applyNumberFormat="1" applyFont="1" applyFill="1" applyBorder="1" applyAlignment="1" applyProtection="1">
      <alignment horizontal="left" vertical="center" wrapText="1" indent="2"/>
    </xf>
    <xf numFmtId="165" fontId="38" fillId="0" borderId="3" xfId="0" applyNumberFormat="1" applyFont="1" applyFill="1" applyBorder="1" applyAlignment="1" applyProtection="1">
      <alignment horizontal="right" vertical="center" wrapText="1" indent="1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21" xfId="0" applyFont="1" applyFill="1" applyBorder="1" applyAlignment="1" applyProtection="1">
      <alignment horizontal="center" vertical="center"/>
    </xf>
    <xf numFmtId="0" fontId="14" fillId="0" borderId="17" xfId="0" quotePrefix="1" applyFont="1" applyFill="1" applyBorder="1" applyAlignment="1" applyProtection="1">
      <alignment horizontal="right" vertical="center" indent="1"/>
    </xf>
    <xf numFmtId="0" fontId="14" fillId="0" borderId="28" xfId="0" applyFont="1" applyFill="1" applyBorder="1" applyAlignment="1" applyProtection="1">
      <alignment horizontal="right" vertical="center" wrapText="1" indent="1"/>
    </xf>
    <xf numFmtId="165" fontId="14" fillId="0" borderId="32" xfId="0" applyNumberFormat="1" applyFont="1" applyFill="1" applyBorder="1" applyAlignment="1" applyProtection="1">
      <alignment horizontal="right" vertical="center" wrapText="1" indent="1"/>
    </xf>
    <xf numFmtId="165" fontId="2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0" xfId="0" applyNumberFormat="1" applyFont="1" applyFill="1" applyBorder="1" applyAlignment="1" applyProtection="1">
      <alignment horizontal="right" vertical="center" wrapText="1" indent="1"/>
    </xf>
    <xf numFmtId="0" fontId="27" fillId="0" borderId="0" xfId="0" applyFont="1" applyFill="1" applyAlignment="1" applyProtection="1">
      <alignment horizontal="right" vertical="center" wrapText="1" indent="1"/>
    </xf>
    <xf numFmtId="165" fontId="25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4" fillId="0" borderId="17" xfId="0" applyNumberFormat="1" applyFont="1" applyFill="1" applyBorder="1" applyAlignment="1" applyProtection="1">
      <alignment horizontal="right" vertical="center"/>
    </xf>
    <xf numFmtId="49" fontId="14" fillId="0" borderId="45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 wrapText="1"/>
    </xf>
    <xf numFmtId="0" fontId="30" fillId="0" borderId="25" xfId="0" applyFont="1" applyBorder="1" applyAlignment="1" applyProtection="1">
      <alignment horizontal="left" vertical="center" wrapText="1" indent="1"/>
    </xf>
    <xf numFmtId="0" fontId="18" fillId="0" borderId="0" xfId="21" applyFont="1" applyFill="1" applyProtection="1"/>
    <xf numFmtId="0" fontId="18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46" xfId="0" applyFont="1" applyFill="1" applyBorder="1" applyAlignment="1" applyProtection="1">
      <alignment horizontal="center" vertical="center" wrapText="1"/>
    </xf>
    <xf numFmtId="0" fontId="14" fillId="0" borderId="34" xfId="0" applyFont="1" applyFill="1" applyBorder="1" applyAlignment="1" applyProtection="1">
      <alignment horizontal="center" vertical="center" wrapText="1"/>
    </xf>
    <xf numFmtId="0" fontId="25" fillId="0" borderId="15" xfId="21" applyFont="1" applyFill="1" applyBorder="1" applyAlignment="1" applyProtection="1">
      <alignment horizontal="center" vertical="center" wrapText="1"/>
    </xf>
    <xf numFmtId="0" fontId="25" fillId="0" borderId="16" xfId="21" applyFont="1" applyFill="1" applyBorder="1" applyAlignment="1" applyProtection="1">
      <alignment horizontal="center" vertical="center" wrapText="1"/>
    </xf>
    <xf numFmtId="0" fontId="25" fillId="0" borderId="28" xfId="21" applyFont="1" applyFill="1" applyBorder="1" applyAlignment="1" applyProtection="1">
      <alignment horizontal="center" vertical="center" wrapText="1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6"/>
    </xf>
    <xf numFmtId="0" fontId="18" fillId="0" borderId="0" xfId="21" applyFill="1" applyProtection="1"/>
    <xf numFmtId="0" fontId="27" fillId="0" borderId="0" xfId="21" applyFont="1" applyFill="1" applyProtection="1"/>
    <xf numFmtId="0" fontId="21" fillId="0" borderId="0" xfId="21" applyFont="1" applyFill="1" applyProtection="1"/>
    <xf numFmtId="0" fontId="31" fillId="0" borderId="3" xfId="0" applyFont="1" applyBorder="1" applyAlignment="1" applyProtection="1">
      <alignment horizontal="left" wrapText="1" indent="1"/>
    </xf>
    <xf numFmtId="0" fontId="31" fillId="0" borderId="2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wrapText="1"/>
    </xf>
    <xf numFmtId="0" fontId="31" fillId="0" borderId="9" xfId="0" applyFont="1" applyBorder="1" applyAlignment="1" applyProtection="1">
      <alignment wrapText="1"/>
    </xf>
    <xf numFmtId="0" fontId="31" fillId="0" borderId="8" xfId="0" applyFont="1" applyBorder="1" applyAlignment="1" applyProtection="1">
      <alignment wrapText="1"/>
    </xf>
    <xf numFmtId="0" fontId="31" fillId="0" borderId="10" xfId="0" applyFont="1" applyBorder="1" applyAlignment="1" applyProtection="1">
      <alignment wrapText="1"/>
    </xf>
    <xf numFmtId="0" fontId="32" fillId="0" borderId="14" xfId="0" applyFont="1" applyBorder="1" applyAlignment="1" applyProtection="1">
      <alignment wrapText="1"/>
    </xf>
    <xf numFmtId="0" fontId="32" fillId="0" borderId="25" xfId="0" applyFont="1" applyBorder="1" applyAlignment="1" applyProtection="1">
      <alignment wrapText="1"/>
    </xf>
    <xf numFmtId="0" fontId="18" fillId="0" borderId="0" xfId="21" applyFill="1" applyAlignment="1" applyProtection="1"/>
    <xf numFmtId="165" fontId="30" fillId="0" borderId="19" xfId="0" quotePrefix="1" applyNumberFormat="1" applyFont="1" applyBorder="1" applyAlignment="1" applyProtection="1">
      <alignment horizontal="right" vertical="center" wrapText="1" indent="1"/>
    </xf>
    <xf numFmtId="0" fontId="29" fillId="0" borderId="0" xfId="21" applyFont="1" applyFill="1" applyProtection="1"/>
    <xf numFmtId="165" fontId="3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7" fillId="0" borderId="9" xfId="21" applyNumberFormat="1" applyFont="1" applyFill="1" applyBorder="1" applyAlignment="1" applyProtection="1">
      <alignment horizontal="center" vertical="center" wrapText="1"/>
    </xf>
    <xf numFmtId="49" fontId="27" fillId="0" borderId="8" xfId="21" applyNumberFormat="1" applyFont="1" applyFill="1" applyBorder="1" applyAlignment="1" applyProtection="1">
      <alignment horizontal="center" vertical="center" wrapText="1"/>
    </xf>
    <xf numFmtId="49" fontId="27" fillId="0" borderId="10" xfId="21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horizontal="center" wrapText="1"/>
    </xf>
    <xf numFmtId="0" fontId="31" fillId="0" borderId="9" xfId="0" applyFont="1" applyBorder="1" applyAlignment="1" applyProtection="1">
      <alignment horizontal="center" wrapText="1"/>
    </xf>
    <xf numFmtId="0" fontId="31" fillId="0" borderId="8" xfId="0" applyFont="1" applyBorder="1" applyAlignment="1" applyProtection="1">
      <alignment horizontal="center" wrapText="1"/>
    </xf>
    <xf numFmtId="0" fontId="31" fillId="0" borderId="10" xfId="0" applyFont="1" applyBorder="1" applyAlignment="1" applyProtection="1">
      <alignment horizontal="center" wrapText="1"/>
    </xf>
    <xf numFmtId="0" fontId="32" fillId="0" borderId="39" xfId="0" applyFont="1" applyBorder="1" applyAlignment="1" applyProtection="1">
      <alignment horizontal="center" wrapText="1"/>
    </xf>
    <xf numFmtId="49" fontId="27" fillId="0" borderId="11" xfId="21" applyNumberFormat="1" applyFont="1" applyFill="1" applyBorder="1" applyAlignment="1" applyProtection="1">
      <alignment horizontal="center" vertical="center" wrapText="1"/>
    </xf>
    <xf numFmtId="49" fontId="27" fillId="0" borderId="7" xfId="21" applyNumberFormat="1" applyFont="1" applyFill="1" applyBorder="1" applyAlignment="1" applyProtection="1">
      <alignment horizontal="center" vertical="center" wrapText="1"/>
    </xf>
    <xf numFmtId="49" fontId="27" fillId="0" borderId="12" xfId="21" applyNumberFormat="1" applyFont="1" applyFill="1" applyBorder="1" applyAlignment="1" applyProtection="1">
      <alignment horizontal="center" vertical="center" wrapText="1"/>
    </xf>
    <xf numFmtId="0" fontId="32" fillId="0" borderId="39" xfId="0" applyFont="1" applyBorder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 wrapText="1"/>
    </xf>
    <xf numFmtId="49" fontId="34" fillId="0" borderId="11" xfId="0" applyNumberFormat="1" applyFont="1" applyFill="1" applyBorder="1" applyAlignment="1" applyProtection="1">
      <alignment horizontal="center" vertical="center" wrapText="1"/>
    </xf>
    <xf numFmtId="49" fontId="34" fillId="0" borderId="8" xfId="0" applyNumberFormat="1" applyFont="1" applyFill="1" applyBorder="1" applyAlignment="1" applyProtection="1">
      <alignment horizontal="center" vertical="center" wrapText="1"/>
    </xf>
    <xf numFmtId="49" fontId="34" fillId="0" borderId="9" xfId="0" applyNumberFormat="1" applyFont="1" applyFill="1" applyBorder="1" applyAlignment="1" applyProtection="1">
      <alignment horizontal="center" vertical="center" wrapText="1"/>
    </xf>
    <xf numFmtId="0" fontId="34" fillId="0" borderId="3" xfId="21" applyFont="1" applyFill="1" applyBorder="1" applyAlignment="1" applyProtection="1">
      <alignment horizontal="left" vertical="center" wrapText="1" indent="1"/>
    </xf>
    <xf numFmtId="0" fontId="34" fillId="0" borderId="2" xfId="21" applyFont="1" applyFill="1" applyBorder="1" applyAlignment="1" applyProtection="1">
      <alignment horizontal="left" vertical="center" wrapText="1" indent="1"/>
    </xf>
    <xf numFmtId="0" fontId="43" fillId="0" borderId="0" xfId="0" applyFont="1" applyAlignment="1" applyProtection="1">
      <alignment horizontal="right" vertical="top"/>
    </xf>
    <xf numFmtId="0" fontId="13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1" xfId="23" applyFont="1" applyFill="1" applyBorder="1" applyAlignment="1" applyProtection="1">
      <alignment horizontal="left" vertical="center" wrapText="1" indent="1"/>
    </xf>
    <xf numFmtId="165" fontId="38" fillId="0" borderId="1" xfId="0" applyNumberFormat="1" applyFont="1" applyFill="1" applyBorder="1" applyAlignment="1" applyProtection="1">
      <alignment horizontal="right" vertical="center" wrapText="1" indent="1"/>
    </xf>
    <xf numFmtId="165" fontId="39" fillId="0" borderId="0" xfId="0" applyNumberFormat="1" applyFont="1" applyFill="1" applyAlignment="1">
      <alignment vertical="center" wrapText="1"/>
    </xf>
    <xf numFmtId="165" fontId="12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6" fillId="0" borderId="0" xfId="0" applyNumberFormat="1" applyFont="1" applyFill="1" applyAlignment="1">
      <alignment vertical="center" wrapText="1"/>
    </xf>
    <xf numFmtId="165" fontId="29" fillId="0" borderId="0" xfId="0" applyNumberFormat="1" applyFont="1" applyFill="1" applyAlignment="1">
      <alignment vertical="center" wrapText="1"/>
    </xf>
    <xf numFmtId="165" fontId="36" fillId="0" borderId="0" xfId="0" applyNumberFormat="1" applyFont="1" applyFill="1" applyAlignment="1">
      <alignment horizontal="left" vertical="center" wrapText="1"/>
    </xf>
    <xf numFmtId="0" fontId="21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4" fillId="0" borderId="3" xfId="0" applyFont="1" applyBorder="1" applyAlignment="1" applyProtection="1">
      <alignment horizontal="left" vertical="center" indent="1"/>
      <protection locked="0"/>
    </xf>
    <xf numFmtId="0" fontId="34" fillId="0" borderId="1" xfId="0" applyFont="1" applyBorder="1" applyAlignment="1" applyProtection="1">
      <alignment horizontal="left" vertical="center" indent="1"/>
      <protection locked="0"/>
    </xf>
    <xf numFmtId="165" fontId="34" fillId="0" borderId="2" xfId="23" applyNumberFormat="1" applyFont="1" applyFill="1" applyBorder="1" applyAlignment="1" applyProtection="1">
      <alignment vertical="center"/>
      <protection locked="0"/>
    </xf>
    <xf numFmtId="165" fontId="34" fillId="0" borderId="3" xfId="23" applyNumberFormat="1" applyFont="1" applyFill="1" applyBorder="1" applyAlignment="1" applyProtection="1">
      <alignment vertical="center"/>
      <protection locked="0"/>
    </xf>
    <xf numFmtId="0" fontId="31" fillId="0" borderId="2" xfId="0" quotePrefix="1" applyFont="1" applyBorder="1" applyAlignment="1" applyProtection="1">
      <alignment horizontal="left" wrapText="1" indent="1"/>
    </xf>
    <xf numFmtId="0" fontId="25" fillId="0" borderId="13" xfId="21" applyFont="1" applyFill="1" applyBorder="1" applyAlignment="1" applyProtection="1">
      <alignment horizontal="left" vertical="center" wrapText="1"/>
    </xf>
    <xf numFmtId="0" fontId="32" fillId="0" borderId="13" xfId="0" applyFont="1" applyBorder="1" applyAlignment="1" applyProtection="1">
      <alignment vertical="center" wrapText="1"/>
    </xf>
    <xf numFmtId="0" fontId="31" fillId="0" borderId="6" xfId="0" applyFont="1" applyBorder="1" applyAlignment="1" applyProtection="1">
      <alignment vertical="center" wrapText="1"/>
    </xf>
    <xf numFmtId="0" fontId="32" fillId="0" borderId="39" xfId="0" applyFont="1" applyBorder="1" applyAlignment="1" applyProtection="1">
      <alignment vertical="center" wrapText="1"/>
    </xf>
    <xf numFmtId="0" fontId="27" fillId="0" borderId="21" xfId="21" applyFont="1" applyFill="1" applyBorder="1" applyAlignment="1" applyProtection="1">
      <alignment horizontal="left" vertical="center" wrapText="1" indent="7"/>
    </xf>
    <xf numFmtId="0" fontId="25" fillId="0" borderId="39" xfId="21" applyFont="1" applyFill="1" applyBorder="1" applyAlignment="1" applyProtection="1">
      <alignment horizontal="left" vertical="center" wrapText="1" indent="1"/>
    </xf>
    <xf numFmtId="0" fontId="25" fillId="0" borderId="25" xfId="21" applyFont="1" applyFill="1" applyBorder="1" applyAlignment="1" applyProtection="1">
      <alignment vertical="center" wrapText="1"/>
    </xf>
    <xf numFmtId="165" fontId="25" fillId="0" borderId="26" xfId="21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4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7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4" fillId="0" borderId="45" xfId="0" applyNumberFormat="1" applyFont="1" applyFill="1" applyBorder="1" applyAlignment="1" applyProtection="1">
      <alignment horizontal="right" vertical="center" indent="1"/>
    </xf>
    <xf numFmtId="49" fontId="33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34" fillId="0" borderId="1" xfId="23" applyNumberFormat="1" applyFont="1" applyFill="1" applyBorder="1" applyAlignment="1" applyProtection="1">
      <alignment vertical="center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>
      <alignment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0" xfId="21" applyFont="1" applyFill="1"/>
    <xf numFmtId="165" fontId="25" fillId="0" borderId="44" xfId="21" applyNumberFormat="1" applyFont="1" applyFill="1" applyBorder="1" applyAlignment="1" applyProtection="1">
      <alignment horizontal="right" vertical="center" wrapText="1" indent="1"/>
    </xf>
    <xf numFmtId="0" fontId="21" fillId="0" borderId="0" xfId="21" applyFont="1" applyFill="1"/>
    <xf numFmtId="165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21" applyNumberFormat="1" applyFont="1" applyFill="1" applyBorder="1" applyAlignment="1" applyProtection="1">
      <alignment horizontal="right" vertical="center" wrapText="1" indent="1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51" xfId="21" applyFont="1" applyFill="1" applyBorder="1" applyAlignment="1" applyProtection="1">
      <alignment horizontal="center" vertical="center" wrapText="1"/>
    </xf>
    <xf numFmtId="0" fontId="13" fillId="0" borderId="51" xfId="21" applyFont="1" applyFill="1" applyBorder="1" applyAlignment="1" applyProtection="1">
      <alignment vertical="center" wrapText="1"/>
    </xf>
    <xf numFmtId="165" fontId="25" fillId="0" borderId="52" xfId="21" applyNumberFormat="1" applyFont="1" applyFill="1" applyBorder="1" applyAlignment="1" applyProtection="1">
      <alignment horizontal="right" vertical="center" wrapText="1" indent="1"/>
    </xf>
    <xf numFmtId="165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Border="1" applyAlignment="1" applyProtection="1">
      <alignment horizontal="right" vertical="center" wrapText="1" indent="1"/>
    </xf>
    <xf numFmtId="165" fontId="30" fillId="0" borderId="44" xfId="0" quotePrefix="1" applyNumberFormat="1" applyFont="1" applyBorder="1" applyAlignment="1" applyProtection="1">
      <alignment horizontal="right" vertical="center" wrapText="1" indent="1"/>
    </xf>
    <xf numFmtId="165" fontId="61" fillId="0" borderId="0" xfId="0" applyNumberFormat="1" applyFont="1" applyFill="1" applyAlignment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64" xfId="0" applyFont="1" applyBorder="1" applyAlignment="1" applyProtection="1">
      <alignment horizontal="left" wrapText="1" indent="1"/>
    </xf>
    <xf numFmtId="0" fontId="31" fillId="0" borderId="49" xfId="0" applyFont="1" applyBorder="1" applyAlignment="1" applyProtection="1">
      <alignment horizontal="left" wrapText="1" indent="1"/>
    </xf>
    <xf numFmtId="0" fontId="31" fillId="0" borderId="65" xfId="0" applyFont="1" applyBorder="1" applyAlignment="1" applyProtection="1">
      <alignment horizontal="left" wrapText="1" indent="1"/>
    </xf>
    <xf numFmtId="165" fontId="27" fillId="0" borderId="50" xfId="21" applyNumberFormat="1" applyFont="1" applyFill="1" applyBorder="1" applyAlignment="1" applyProtection="1">
      <alignment horizontal="right" vertical="center" wrapText="1" indent="1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4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25" fillId="0" borderId="68" xfId="21" applyFont="1" applyFill="1" applyBorder="1" applyAlignment="1" applyProtection="1">
      <alignment horizontal="center" vertical="center" wrapTex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3" xfId="21" applyNumberFormat="1" applyFont="1" applyFill="1" applyBorder="1" applyAlignment="1" applyProtection="1">
      <alignment horizontal="right" vertical="center" wrapText="1" indent="1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0" fontId="9" fillId="0" borderId="0" xfId="21" applyFont="1" applyFill="1" applyAlignment="1" applyProtection="1">
      <alignment horizontal="right" vertical="center" indent="1"/>
    </xf>
    <xf numFmtId="165" fontId="18" fillId="0" borderId="0" xfId="21" applyNumberFormat="1" applyFill="1" applyProtection="1"/>
    <xf numFmtId="0" fontId="21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9" fillId="0" borderId="0" xfId="20" applyFont="1"/>
    <xf numFmtId="0" fontId="15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3" fillId="0" borderId="63" xfId="20" applyFont="1" applyBorder="1" applyAlignment="1">
      <alignment vertical="center"/>
    </xf>
    <xf numFmtId="0" fontId="9" fillId="0" borderId="51" xfId="20" applyFont="1" applyBorder="1" applyAlignment="1">
      <alignment vertical="center"/>
    </xf>
    <xf numFmtId="0" fontId="9" fillId="0" borderId="52" xfId="20" applyFont="1" applyBorder="1" applyAlignment="1">
      <alignment vertical="center"/>
    </xf>
    <xf numFmtId="0" fontId="27" fillId="0" borderId="0" xfId="19" applyFont="1"/>
    <xf numFmtId="0" fontId="25" fillId="0" borderId="0" xfId="19" applyFont="1"/>
    <xf numFmtId="0" fontId="63" fillId="0" borderId="0" xfId="19" applyFont="1"/>
    <xf numFmtId="0" fontId="21" fillId="0" borderId="0" xfId="19" applyFont="1"/>
    <xf numFmtId="0" fontId="34" fillId="0" borderId="0" xfId="19" applyFont="1"/>
    <xf numFmtId="0" fontId="26" fillId="0" borderId="0" xfId="19" applyFont="1" applyAlignment="1">
      <alignment horizontal="right"/>
    </xf>
    <xf numFmtId="0" fontId="27" fillId="0" borderId="0" xfId="19" applyFont="1" applyAlignment="1">
      <alignment horizontal="centerContinuous"/>
    </xf>
    <xf numFmtId="0" fontId="25" fillId="0" borderId="0" xfId="19" applyFont="1" applyAlignment="1">
      <alignment horizontal="centerContinuous"/>
    </xf>
    <xf numFmtId="0" fontId="21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3" fillId="0" borderId="51" xfId="19" applyFont="1" applyBorder="1" applyAlignment="1">
      <alignment horizontal="center"/>
    </xf>
    <xf numFmtId="0" fontId="14" fillId="0" borderId="10" xfId="19" applyFont="1" applyBorder="1" applyAlignment="1">
      <alignment horizontal="center"/>
    </xf>
    <xf numFmtId="0" fontId="14" fillId="0" borderId="6" xfId="19" applyFont="1" applyBorder="1" applyAlignment="1">
      <alignment horizontal="center"/>
    </xf>
    <xf numFmtId="0" fontId="14" fillId="0" borderId="23" xfId="19" applyFont="1" applyBorder="1" applyAlignment="1">
      <alignment horizontal="center"/>
    </xf>
    <xf numFmtId="0" fontId="14" fillId="0" borderId="38" xfId="19" applyFont="1" applyBorder="1" applyAlignment="1">
      <alignment horizontal="center"/>
    </xf>
    <xf numFmtId="3" fontId="35" fillId="0" borderId="17" xfId="19" applyNumberFormat="1" applyFont="1" applyBorder="1"/>
    <xf numFmtId="0" fontId="49" fillId="0" borderId="0" xfId="19" applyFont="1"/>
    <xf numFmtId="3" fontId="14" fillId="0" borderId="18" xfId="19" applyNumberFormat="1" applyFont="1" applyBorder="1"/>
    <xf numFmtId="3" fontId="14" fillId="0" borderId="0" xfId="19" applyNumberFormat="1" applyFont="1" applyBorder="1"/>
    <xf numFmtId="3" fontId="41" fillId="0" borderId="2" xfId="19" applyNumberFormat="1" applyFont="1" applyFill="1" applyBorder="1"/>
    <xf numFmtId="3" fontId="58" fillId="0" borderId="2" xfId="19" applyNumberFormat="1" applyFont="1" applyBorder="1"/>
    <xf numFmtId="3" fontId="26" fillId="0" borderId="38" xfId="19" applyNumberFormat="1" applyFont="1" applyBorder="1"/>
    <xf numFmtId="3" fontId="26" fillId="0" borderId="56" xfId="19" applyNumberFormat="1" applyFont="1" applyBorder="1"/>
    <xf numFmtId="3" fontId="41" fillId="0" borderId="74" xfId="19" applyNumberFormat="1" applyFont="1" applyFill="1" applyBorder="1"/>
    <xf numFmtId="3" fontId="14" fillId="0" borderId="11" xfId="19" applyNumberFormat="1" applyFont="1" applyBorder="1"/>
    <xf numFmtId="3" fontId="14" fillId="0" borderId="58" xfId="19" applyNumberFormat="1" applyFont="1" applyBorder="1"/>
    <xf numFmtId="3" fontId="24" fillId="0" borderId="5" xfId="19" applyNumberFormat="1" applyFont="1" applyBorder="1"/>
    <xf numFmtId="3" fontId="24" fillId="0" borderId="2" xfId="19" applyNumberFormat="1" applyFont="1" applyBorder="1"/>
    <xf numFmtId="3" fontId="14" fillId="0" borderId="8" xfId="19" applyNumberFormat="1" applyFont="1" applyBorder="1"/>
    <xf numFmtId="3" fontId="14" fillId="0" borderId="54" xfId="19" applyNumberFormat="1" applyFont="1" applyBorder="1"/>
    <xf numFmtId="3" fontId="14" fillId="0" borderId="21" xfId="19" applyNumberFormat="1" applyFont="1" applyBorder="1"/>
    <xf numFmtId="3" fontId="14" fillId="0" borderId="75" xfId="19" applyNumberFormat="1" applyFont="1" applyBorder="1"/>
    <xf numFmtId="3" fontId="14" fillId="0" borderId="22" xfId="19" applyNumberFormat="1" applyFont="1" applyBorder="1"/>
    <xf numFmtId="0" fontId="56" fillId="0" borderId="0" xfId="19" quotePrefix="1" applyFont="1" applyBorder="1"/>
    <xf numFmtId="3" fontId="26" fillId="0" borderId="0" xfId="19" applyNumberFormat="1" applyFont="1" applyBorder="1"/>
    <xf numFmtId="3" fontId="24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59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5" fillId="0" borderId="15" xfId="23" applyFont="1" applyFill="1" applyBorder="1" applyAlignment="1" applyProtection="1">
      <alignment horizontal="center" vertical="center" wrapText="1"/>
      <protection locked="0"/>
    </xf>
    <xf numFmtId="0" fontId="35" fillId="0" borderId="16" xfId="23" applyFont="1" applyFill="1" applyBorder="1" applyAlignment="1" applyProtection="1">
      <alignment horizontal="center" vertical="center"/>
      <protection locked="0"/>
    </xf>
    <xf numFmtId="0" fontId="35" fillId="0" borderId="28" xfId="23" applyFont="1" applyFill="1" applyBorder="1" applyAlignment="1" applyProtection="1">
      <alignment horizontal="center" vertical="center"/>
      <protection locked="0"/>
    </xf>
    <xf numFmtId="0" fontId="14" fillId="0" borderId="39" xfId="19" applyFont="1" applyBorder="1" applyAlignment="1">
      <alignment horizontal="center"/>
    </xf>
    <xf numFmtId="0" fontId="14" fillId="0" borderId="25" xfId="19" applyFont="1" applyBorder="1" applyAlignment="1">
      <alignment horizontal="center"/>
    </xf>
    <xf numFmtId="0" fontId="14" fillId="0" borderId="26" xfId="19" applyFont="1" applyBorder="1" applyAlignment="1">
      <alignment horizontal="center"/>
    </xf>
    <xf numFmtId="165" fontId="27" fillId="0" borderId="28" xfId="21" applyNumberFormat="1" applyFont="1" applyFill="1" applyBorder="1" applyAlignment="1" applyProtection="1">
      <alignment horizontal="right" vertical="center" wrapText="1" inden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5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34" fillId="0" borderId="0" xfId="21" applyNumberFormat="1" applyFont="1" applyFill="1" applyProtection="1"/>
    <xf numFmtId="0" fontId="34" fillId="0" borderId="0" xfId="21" applyFont="1" applyFill="1" applyProtection="1"/>
    <xf numFmtId="3" fontId="33" fillId="0" borderId="27" xfId="21" applyNumberFormat="1" applyFont="1" applyFill="1" applyBorder="1" applyProtection="1"/>
    <xf numFmtId="3" fontId="34" fillId="0" borderId="20" xfId="21" applyNumberFormat="1" applyFont="1" applyFill="1" applyBorder="1" applyProtection="1"/>
    <xf numFmtId="3" fontId="34" fillId="0" borderId="18" xfId="21" applyNumberFormat="1" applyFont="1" applyFill="1" applyBorder="1" applyProtection="1"/>
    <xf numFmtId="3" fontId="34" fillId="0" borderId="23" xfId="21" applyNumberFormat="1" applyFont="1" applyFill="1" applyBorder="1" applyProtection="1"/>
    <xf numFmtId="165" fontId="7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/>
    </xf>
    <xf numFmtId="3" fontId="27" fillId="0" borderId="0" xfId="0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center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3" fontId="27" fillId="0" borderId="20" xfId="0" applyNumberFormat="1" applyFont="1" applyFill="1" applyBorder="1" applyAlignment="1">
      <alignment horizontal="right" vertical="center" wrapText="1"/>
    </xf>
    <xf numFmtId="3" fontId="27" fillId="0" borderId="18" xfId="0" applyNumberFormat="1" applyFont="1" applyFill="1" applyBorder="1" applyAlignment="1">
      <alignment horizontal="right" vertical="center" wrapText="1"/>
    </xf>
    <xf numFmtId="3" fontId="27" fillId="0" borderId="23" xfId="0" applyNumberFormat="1" applyFont="1" applyFill="1" applyBorder="1" applyAlignment="1">
      <alignment horizontal="right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/>
    </xf>
    <xf numFmtId="3" fontId="25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5" fillId="0" borderId="0" xfId="26" applyNumberFormat="1" applyFont="1" applyAlignment="1">
      <alignment horizontal="center"/>
    </xf>
    <xf numFmtId="166" fontId="21" fillId="0" borderId="0" xfId="26" applyNumberFormat="1" applyFont="1"/>
    <xf numFmtId="166" fontId="9" fillId="0" borderId="0" xfId="26" applyNumberFormat="1" applyFont="1"/>
    <xf numFmtId="166" fontId="50" fillId="0" borderId="0" xfId="26" applyNumberFormat="1" applyFont="1" applyAlignment="1">
      <alignment horizontal="centerContinuous"/>
    </xf>
    <xf numFmtId="166" fontId="15" fillId="0" borderId="0" xfId="26" applyNumberFormat="1" applyFont="1" applyAlignment="1">
      <alignment horizontal="right"/>
    </xf>
    <xf numFmtId="166" fontId="13" fillId="0" borderId="27" xfId="26" applyNumberFormat="1" applyFont="1" applyBorder="1" applyAlignment="1">
      <alignment horizontal="center" vertical="center"/>
    </xf>
    <xf numFmtId="166" fontId="21" fillId="0" borderId="0" xfId="26" applyNumberFormat="1" applyFont="1" applyBorder="1" applyAlignment="1"/>
    <xf numFmtId="0" fontId="7" fillId="0" borderId="72" xfId="20" applyFont="1" applyBorder="1"/>
    <xf numFmtId="166" fontId="21" fillId="0" borderId="0" xfId="26" applyNumberFormat="1" applyFont="1" applyBorder="1"/>
    <xf numFmtId="3" fontId="34" fillId="0" borderId="0" xfId="23" applyNumberFormat="1" applyFont="1" applyFill="1" applyAlignment="1" applyProtection="1">
      <alignment vertical="center"/>
    </xf>
    <xf numFmtId="3" fontId="34" fillId="0" borderId="11" xfId="23" applyNumberFormat="1" applyFont="1" applyFill="1" applyBorder="1" applyAlignment="1" applyProtection="1">
      <alignment vertical="center"/>
    </xf>
    <xf numFmtId="3" fontId="34" fillId="0" borderId="17" xfId="23" applyNumberFormat="1" applyFont="1" applyFill="1" applyBorder="1" applyAlignment="1" applyProtection="1">
      <alignment vertical="center"/>
      <protection locked="0"/>
    </xf>
    <xf numFmtId="165" fontId="33" fillId="0" borderId="18" xfId="23" applyNumberFormat="1" applyFont="1" applyFill="1" applyBorder="1" applyAlignment="1" applyProtection="1">
      <alignment vertical="center"/>
    </xf>
    <xf numFmtId="3" fontId="34" fillId="0" borderId="8" xfId="23" applyNumberFormat="1" applyFont="1" applyFill="1" applyBorder="1" applyAlignment="1" applyProtection="1">
      <alignment vertical="center"/>
      <protection locked="0"/>
    </xf>
    <xf numFmtId="3" fontId="34" fillId="0" borderId="18" xfId="23" applyNumberFormat="1" applyFont="1" applyFill="1" applyBorder="1" applyAlignment="1" applyProtection="1">
      <alignment vertical="center"/>
      <protection locked="0"/>
    </xf>
    <xf numFmtId="3" fontId="34" fillId="0" borderId="10" xfId="23" applyNumberFormat="1" applyFont="1" applyFill="1" applyBorder="1" applyAlignment="1" applyProtection="1">
      <alignment vertical="center"/>
      <protection locked="0"/>
    </xf>
    <xf numFmtId="3" fontId="34" fillId="0" borderId="23" xfId="23" applyNumberFormat="1" applyFont="1" applyFill="1" applyBorder="1" applyAlignment="1" applyProtection="1">
      <alignment vertical="center"/>
      <protection locked="0"/>
    </xf>
    <xf numFmtId="3" fontId="34" fillId="0" borderId="27" xfId="23" applyNumberFormat="1" applyFont="1" applyFill="1" applyBorder="1" applyAlignment="1" applyProtection="1">
      <alignment vertical="center"/>
    </xf>
    <xf numFmtId="3" fontId="34" fillId="0" borderId="27" xfId="23" applyNumberFormat="1" applyFont="1" applyFill="1" applyBorder="1" applyAlignment="1" applyProtection="1">
      <alignment vertical="center"/>
      <protection locked="0"/>
    </xf>
    <xf numFmtId="3" fontId="34" fillId="0" borderId="0" xfId="23" applyNumberFormat="1" applyFont="1" applyFill="1" applyAlignment="1" applyProtection="1">
      <alignment vertical="center"/>
      <protection locked="0"/>
    </xf>
    <xf numFmtId="0" fontId="27" fillId="0" borderId="11" xfId="23" applyFont="1" applyFill="1" applyBorder="1" applyAlignment="1" applyProtection="1">
      <alignment horizontal="left" vertical="center" indent="1"/>
    </xf>
    <xf numFmtId="0" fontId="27" fillId="0" borderId="4" xfId="23" applyFont="1" applyFill="1" applyBorder="1" applyAlignment="1" applyProtection="1">
      <alignment horizontal="left" vertical="center" indent="1"/>
    </xf>
    <xf numFmtId="165" fontId="34" fillId="0" borderId="4" xfId="23" applyNumberFormat="1" applyFont="1" applyFill="1" applyBorder="1" applyAlignment="1" applyProtection="1">
      <alignment vertical="center"/>
      <protection locked="0"/>
    </xf>
    <xf numFmtId="3" fontId="31" fillId="0" borderId="0" xfId="25" applyNumberFormat="1" applyFont="1"/>
    <xf numFmtId="0" fontId="7" fillId="0" borderId="47" xfId="20" applyFont="1" applyBorder="1" applyAlignment="1">
      <alignment horizontal="left"/>
    </xf>
    <xf numFmtId="0" fontId="7" fillId="0" borderId="72" xfId="20" quotePrefix="1" applyFont="1" applyBorder="1" applyAlignment="1">
      <alignment horizontal="left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0" fontId="25" fillId="0" borderId="70" xfId="21" applyFont="1" applyFill="1" applyBorder="1" applyAlignment="1" applyProtection="1">
      <alignment vertical="center" wrapText="1"/>
    </xf>
    <xf numFmtId="0" fontId="33" fillId="0" borderId="68" xfId="21" applyFont="1" applyFill="1" applyBorder="1" applyAlignment="1" applyProtection="1">
      <alignment horizontal="left" vertical="center" wrapText="1" indent="1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33" fillId="0" borderId="27" xfId="21" applyNumberFormat="1" applyFont="1" applyFill="1" applyBorder="1" applyAlignment="1" applyProtection="1">
      <alignment horizontal="center" vertical="center" wrapText="1"/>
    </xf>
    <xf numFmtId="0" fontId="30" fillId="0" borderId="70" xfId="0" applyFont="1" applyBorder="1" applyAlignment="1" applyProtection="1">
      <alignment horizontal="left" vertical="center" wrapText="1" indent="1"/>
    </xf>
    <xf numFmtId="165" fontId="34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</xf>
    <xf numFmtId="166" fontId="29" fillId="0" borderId="46" xfId="26" applyNumberFormat="1" applyFont="1" applyBorder="1"/>
    <xf numFmtId="0" fontId="7" fillId="0" borderId="36" xfId="20" applyFont="1" applyBorder="1"/>
    <xf numFmtId="166" fontId="29" fillId="0" borderId="29" xfId="26" applyNumberFormat="1" applyFont="1" applyBorder="1"/>
    <xf numFmtId="166" fontId="29" fillId="0" borderId="73" xfId="26" applyNumberFormat="1" applyFont="1" applyBorder="1"/>
    <xf numFmtId="166" fontId="29" fillId="0" borderId="53" xfId="26" applyNumberFormat="1" applyFont="1" applyBorder="1"/>
    <xf numFmtId="166" fontId="29" fillId="0" borderId="34" xfId="26" applyNumberFormat="1" applyFont="1" applyBorder="1"/>
    <xf numFmtId="166" fontId="29" fillId="0" borderId="35" xfId="26" applyNumberFormat="1" applyFont="1" applyBorder="1"/>
    <xf numFmtId="166" fontId="29" fillId="0" borderId="44" xfId="26" applyNumberFormat="1" applyFont="1" applyBorder="1"/>
    <xf numFmtId="166" fontId="36" fillId="0" borderId="44" xfId="26" applyNumberFormat="1" applyFont="1" applyBorder="1"/>
    <xf numFmtId="166" fontId="18" fillId="0" borderId="71" xfId="26" quotePrefix="1" applyNumberFormat="1" applyFont="1" applyBorder="1"/>
    <xf numFmtId="166" fontId="18" fillId="0" borderId="57" xfId="26" quotePrefix="1" applyNumberFormat="1" applyFont="1" applyBorder="1"/>
    <xf numFmtId="166" fontId="18" fillId="0" borderId="57" xfId="26" applyNumberFormat="1" applyFont="1" applyBorder="1"/>
    <xf numFmtId="166" fontId="29" fillId="0" borderId="43" xfId="26" applyNumberFormat="1" applyFont="1" applyBorder="1"/>
    <xf numFmtId="166" fontId="29" fillId="0" borderId="0" xfId="26" applyNumberFormat="1" applyFont="1" applyBorder="1"/>
    <xf numFmtId="166" fontId="29" fillId="0" borderId="48" xfId="26" applyNumberFormat="1" applyFont="1" applyBorder="1"/>
    <xf numFmtId="0" fontId="25" fillId="0" borderId="68" xfId="21" applyFont="1" applyFill="1" applyBorder="1" applyAlignment="1" applyProtection="1">
      <alignment horizontal="left" vertical="center" wrapText="1" indent="1"/>
    </xf>
    <xf numFmtId="0" fontId="31" fillId="0" borderId="49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horizontal="left" vertical="center" wrapText="1" indent="1"/>
    </xf>
    <xf numFmtId="0" fontId="32" fillId="0" borderId="68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vertical="center" wrapText="1"/>
    </xf>
    <xf numFmtId="0" fontId="32" fillId="0" borderId="68" xfId="0" applyFont="1" applyBorder="1" applyAlignment="1" applyProtection="1">
      <alignment wrapText="1"/>
    </xf>
    <xf numFmtId="0" fontId="32" fillId="0" borderId="70" xfId="0" applyFont="1" applyBorder="1" applyAlignment="1" applyProtection="1">
      <alignment wrapText="1"/>
    </xf>
    <xf numFmtId="0" fontId="25" fillId="0" borderId="62" xfId="21" applyFont="1" applyFill="1" applyBorder="1" applyAlignment="1" applyProtection="1">
      <alignment vertical="center" wrapText="1"/>
    </xf>
    <xf numFmtId="0" fontId="27" fillId="0" borderId="69" xfId="21" applyFont="1" applyFill="1" applyBorder="1" applyAlignment="1" applyProtection="1">
      <alignment horizontal="left" vertical="center" wrapText="1" indent="1"/>
    </xf>
    <xf numFmtId="0" fontId="27" fillId="0" borderId="49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6"/>
    </xf>
    <xf numFmtId="0" fontId="27" fillId="0" borderId="72" xfId="21" applyFont="1" applyFill="1" applyBorder="1" applyAlignment="1" applyProtection="1">
      <alignment horizontal="left" vertical="center" wrapText="1" indent="1"/>
    </xf>
    <xf numFmtId="0" fontId="27" fillId="0" borderId="37" xfId="21" applyFont="1" applyFill="1" applyBorder="1" applyAlignment="1" applyProtection="1">
      <alignment horizontal="left" vertical="center" wrapText="1" indent="7"/>
    </xf>
    <xf numFmtId="0" fontId="27" fillId="0" borderId="64" xfId="21" applyFont="1" applyFill="1" applyBorder="1" applyAlignment="1" applyProtection="1">
      <alignment horizontal="left" vertical="center" wrapText="1" indent="1"/>
    </xf>
    <xf numFmtId="0" fontId="27" fillId="0" borderId="66" xfId="21" applyFont="1" applyFill="1" applyBorder="1" applyAlignment="1" applyProtection="1">
      <alignment horizontal="left" vertical="center" wrapText="1" indent="1"/>
    </xf>
    <xf numFmtId="0" fontId="27" fillId="0" borderId="64" xfId="21" applyFont="1" applyFill="1" applyBorder="1" applyAlignment="1" applyProtection="1">
      <alignment horizontal="left" vertical="center" wrapText="1" indent="6"/>
    </xf>
    <xf numFmtId="0" fontId="27" fillId="0" borderId="49" xfId="21" applyFont="1" applyFill="1" applyBorder="1" applyAlignment="1" applyProtection="1">
      <alignment horizontal="left" vertical="center" wrapText="1" indent="6"/>
    </xf>
    <xf numFmtId="0" fontId="14" fillId="0" borderId="68" xfId="21" applyFont="1" applyFill="1" applyBorder="1" applyAlignment="1" applyProtection="1">
      <alignment horizontal="center" vertical="center" wrapText="1"/>
    </xf>
    <xf numFmtId="14" fontId="18" fillId="0" borderId="0" xfId="0" applyNumberFormat="1" applyFont="1" applyFill="1" applyAlignment="1">
      <alignment horizontal="left" vertical="center" wrapText="1"/>
    </xf>
    <xf numFmtId="0" fontId="27" fillId="0" borderId="49" xfId="21" applyFont="1" applyFill="1" applyBorder="1" applyAlignment="1" applyProtection="1">
      <alignment horizontal="left" indent="6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17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3" fillId="0" borderId="0" xfId="25" applyFont="1"/>
    <xf numFmtId="3" fontId="72" fillId="0" borderId="6" xfId="19" applyNumberFormat="1" applyFont="1" applyBorder="1"/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31" xfId="20" quotePrefix="1" applyFont="1" applyBorder="1" applyAlignment="1">
      <alignment horizontal="left"/>
    </xf>
    <xf numFmtId="0" fontId="7" fillId="0" borderId="32" xfId="20" applyFont="1" applyBorder="1"/>
    <xf numFmtId="166" fontId="7" fillId="0" borderId="32" xfId="26" applyNumberFormat="1" applyFont="1" applyBorder="1" applyAlignment="1"/>
    <xf numFmtId="0" fontId="78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0" fontId="37" fillId="0" borderId="0" xfId="0" applyFont="1" applyFill="1" applyAlignment="1">
      <alignment horizontal="right"/>
    </xf>
    <xf numFmtId="165" fontId="33" fillId="0" borderId="19" xfId="23" applyNumberFormat="1" applyFont="1" applyFill="1" applyBorder="1" applyProtection="1"/>
    <xf numFmtId="0" fontId="18" fillId="0" borderId="0" xfId="23" applyFont="1" applyFill="1" applyProtection="1"/>
    <xf numFmtId="0" fontId="18" fillId="0" borderId="0" xfId="23" applyFont="1" applyFill="1" applyProtection="1">
      <protection locked="0"/>
    </xf>
    <xf numFmtId="3" fontId="34" fillId="0" borderId="11" xfId="23" applyNumberFormat="1" applyFont="1" applyFill="1" applyBorder="1" applyAlignment="1" applyProtection="1">
      <alignment vertical="center"/>
      <protection locked="0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vertical="center" wrapText="1"/>
    </xf>
    <xf numFmtId="165" fontId="76" fillId="0" borderId="0" xfId="0" applyNumberFormat="1" applyFont="1" applyFill="1" applyAlignment="1" applyProtection="1">
      <alignment horizontal="right" wrapText="1"/>
    </xf>
    <xf numFmtId="165" fontId="75" fillId="0" borderId="13" xfId="0" applyNumberFormat="1" applyFont="1" applyFill="1" applyBorder="1" applyAlignment="1" applyProtection="1">
      <alignment horizontal="center" vertical="center" wrapText="1"/>
    </xf>
    <xf numFmtId="165" fontId="75" fillId="0" borderId="14" xfId="0" applyNumberFormat="1" applyFont="1" applyFill="1" applyBorder="1" applyAlignment="1" applyProtection="1">
      <alignment horizontal="center" vertical="center" wrapText="1"/>
    </xf>
    <xf numFmtId="165" fontId="75" fillId="0" borderId="19" xfId="0" applyNumberFormat="1" applyFont="1" applyFill="1" applyBorder="1" applyAlignment="1" applyProtection="1">
      <alignment horizontal="center" vertical="center" wrapText="1"/>
    </xf>
    <xf numFmtId="165" fontId="59" fillId="0" borderId="0" xfId="0" applyNumberFormat="1" applyFont="1" applyFill="1" applyAlignment="1">
      <alignment horizontal="center" vertical="center" wrapText="1"/>
    </xf>
    <xf numFmtId="165" fontId="71" fillId="0" borderId="13" xfId="0" applyNumberFormat="1" applyFont="1" applyFill="1" applyBorder="1" applyAlignment="1" applyProtection="1">
      <alignment horizontal="center" vertical="center" wrapText="1"/>
    </xf>
    <xf numFmtId="165" fontId="71" fillId="0" borderId="14" xfId="0" applyNumberFormat="1" applyFont="1" applyFill="1" applyBorder="1" applyAlignment="1" applyProtection="1">
      <alignment horizontal="center" vertical="center" wrapText="1"/>
    </xf>
    <xf numFmtId="165" fontId="71" fillId="0" borderId="19" xfId="0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>
      <alignment horizontal="center" vertical="center" wrapText="1"/>
    </xf>
    <xf numFmtId="0" fontId="82" fillId="0" borderId="0" xfId="0" applyFont="1" applyFill="1" applyBorder="1" applyAlignment="1" applyProtection="1"/>
    <xf numFmtId="0" fontId="34" fillId="0" borderId="15" xfId="21" applyFont="1" applyFill="1" applyBorder="1" applyAlignment="1" applyProtection="1">
      <alignment horizontal="center" vertical="center"/>
    </xf>
    <xf numFmtId="0" fontId="34" fillId="0" borderId="16" xfId="21" applyFont="1" applyFill="1" applyBorder="1" applyAlignment="1" applyProtection="1">
      <alignment horizontal="center" vertical="center"/>
    </xf>
    <xf numFmtId="0" fontId="34" fillId="0" borderId="28" xfId="21" applyFont="1" applyFill="1" applyBorder="1" applyAlignment="1" applyProtection="1">
      <alignment horizontal="center" vertical="center"/>
    </xf>
    <xf numFmtId="0" fontId="43" fillId="0" borderId="5" xfId="0" applyFont="1" applyBorder="1" applyAlignment="1">
      <alignment horizontal="justify" wrapText="1"/>
    </xf>
    <xf numFmtId="166" fontId="34" fillId="0" borderId="36" xfId="26" applyNumberFormat="1" applyFont="1" applyFill="1" applyBorder="1" applyProtection="1">
      <protection locked="0"/>
    </xf>
    <xf numFmtId="0" fontId="43" fillId="0" borderId="5" xfId="0" applyFont="1" applyBorder="1" applyAlignment="1">
      <alignment wrapText="1"/>
    </xf>
    <xf numFmtId="0" fontId="34" fillId="0" borderId="12" xfId="21" applyFont="1" applyFill="1" applyBorder="1" applyAlignment="1" applyProtection="1">
      <alignment horizontal="center" vertical="center"/>
    </xf>
    <xf numFmtId="0" fontId="43" fillId="0" borderId="54" xfId="0" applyFont="1" applyBorder="1" applyAlignment="1">
      <alignment wrapText="1"/>
    </xf>
    <xf numFmtId="166" fontId="34" fillId="0" borderId="53" xfId="26" applyNumberFormat="1" applyFont="1" applyFill="1" applyBorder="1" applyProtection="1">
      <protection locked="0"/>
    </xf>
    <xf numFmtId="166" fontId="33" fillId="0" borderId="26" xfId="26" applyNumberFormat="1" applyFont="1" applyFill="1" applyBorder="1" applyProtection="1"/>
    <xf numFmtId="3" fontId="64" fillId="0" borderId="2" xfId="0" applyNumberFormat="1" applyFont="1" applyFill="1" applyBorder="1" applyAlignment="1" applyProtection="1">
      <alignment vertical="center"/>
      <protection locked="0"/>
    </xf>
    <xf numFmtId="166" fontId="70" fillId="0" borderId="22" xfId="26" applyNumberFormat="1" applyFont="1" applyFill="1" applyBorder="1" applyAlignment="1" applyProtection="1">
      <alignment horizontal="right" vertical="center" wrapText="1" inden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19" xfId="0" applyFont="1" applyFill="1" applyBorder="1" applyAlignment="1" applyProtection="1">
      <alignment horizontal="center" vertical="center" wrapText="1"/>
    </xf>
    <xf numFmtId="165" fontId="16" fillId="0" borderId="0" xfId="0" applyNumberFormat="1" applyFont="1" applyFill="1" applyAlignment="1">
      <alignment horizontal="center" vertical="center" wrapText="1"/>
    </xf>
    <xf numFmtId="165" fontId="12" fillId="0" borderId="0" xfId="0" applyNumberFormat="1" applyFont="1" applyFill="1" applyAlignment="1">
      <alignment horizontal="right" vertical="center"/>
    </xf>
    <xf numFmtId="0" fontId="14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1" fillId="0" borderId="55" xfId="0" applyFont="1" applyFill="1" applyBorder="1" applyAlignment="1" applyProtection="1">
      <alignment horizontal="left" vertical="center" wrapText="1" indent="1"/>
    </xf>
    <xf numFmtId="165" fontId="34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8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 applyProtection="1">
      <alignment horizontal="left" vertical="center" wrapText="1" indent="1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5" xfId="0" applyFont="1" applyFill="1" applyBorder="1" applyAlignment="1" applyProtection="1">
      <alignment horizontal="left" vertical="center" wrapText="1" indent="8"/>
    </xf>
    <xf numFmtId="165" fontId="34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3" xfId="0" applyFont="1" applyFill="1" applyBorder="1" applyAlignment="1" applyProtection="1">
      <alignment vertical="center" wrapText="1"/>
      <protection locked="0"/>
    </xf>
    <xf numFmtId="0" fontId="34" fillId="0" borderId="2" xfId="0" applyFont="1" applyFill="1" applyBorder="1" applyAlignment="1" applyProtection="1">
      <alignment vertical="center" wrapText="1"/>
      <protection locked="0"/>
    </xf>
    <xf numFmtId="0" fontId="34" fillId="0" borderId="1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 applyProtection="1">
      <alignment vertical="center" wrapText="1"/>
      <protection locked="0"/>
    </xf>
    <xf numFmtId="165" fontId="34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3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 applyProtection="1">
      <alignment vertical="center" wrapText="1"/>
    </xf>
    <xf numFmtId="165" fontId="33" fillId="0" borderId="25" xfId="0" applyNumberFormat="1" applyFont="1" applyFill="1" applyBorder="1" applyAlignment="1" applyProtection="1">
      <alignment vertical="center" wrapText="1"/>
    </xf>
    <xf numFmtId="165" fontId="33" fillId="0" borderId="26" xfId="0" applyNumberFormat="1" applyFont="1" applyFill="1" applyBorder="1" applyAlignment="1" applyProtection="1">
      <alignment vertical="center" wrapText="1"/>
    </xf>
    <xf numFmtId="0" fontId="14" fillId="0" borderId="27" xfId="21" applyFont="1" applyFill="1" applyBorder="1" applyAlignment="1" applyProtection="1">
      <alignment horizontal="center" vertical="center" wrapText="1"/>
    </xf>
    <xf numFmtId="0" fontId="25" fillId="0" borderId="27" xfId="21" applyFont="1" applyFill="1" applyBorder="1" applyAlignment="1" applyProtection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7" xfId="21" applyNumberFormat="1" applyFont="1" applyFill="1" applyBorder="1" applyAlignment="1" applyProtection="1">
      <alignment horizontal="right" vertical="center" wrapText="1" indent="1"/>
    </xf>
    <xf numFmtId="165" fontId="27" fillId="0" borderId="41" xfId="21" applyNumberFormat="1" applyFont="1" applyFill="1" applyBorder="1" applyAlignment="1" applyProtection="1">
      <alignment horizontal="right" vertical="center" wrapText="1" indent="1"/>
    </xf>
    <xf numFmtId="165" fontId="27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51" xfId="21" applyNumberFormat="1" applyFont="1" applyFill="1" applyBorder="1" applyAlignment="1" applyProtection="1">
      <alignment horizontal="right" vertical="center" wrapText="1" indent="1"/>
    </xf>
    <xf numFmtId="0" fontId="27" fillId="0" borderId="51" xfId="21" applyFont="1" applyFill="1" applyBorder="1" applyAlignment="1" applyProtection="1">
      <alignment horizontal="right" vertical="center" wrapText="1" indent="1"/>
    </xf>
    <xf numFmtId="165" fontId="34" fillId="0" borderId="51" xfId="21" applyNumberFormat="1" applyFont="1" applyFill="1" applyBorder="1" applyAlignment="1" applyProtection="1">
      <alignment horizontal="right" vertical="center" wrapText="1" indent="1"/>
    </xf>
    <xf numFmtId="0" fontId="14" fillId="0" borderId="44" xfId="21" applyFont="1" applyFill="1" applyBorder="1" applyAlignment="1" applyProtection="1">
      <alignment horizontal="center" vertical="center" wrapText="1"/>
    </xf>
    <xf numFmtId="0" fontId="25" fillId="0" borderId="52" xfId="21" applyFont="1" applyFill="1" applyBorder="1" applyAlignment="1" applyProtection="1">
      <alignment horizontal="center" vertical="center" wrapText="1"/>
    </xf>
    <xf numFmtId="165" fontId="25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5" xfId="21" applyFont="1" applyFill="1" applyBorder="1" applyAlignment="1" applyProtection="1">
      <alignment vertical="center" wrapText="1"/>
    </xf>
    <xf numFmtId="165" fontId="33" fillId="0" borderId="25" xfId="21" applyNumberFormat="1" applyFont="1" applyFill="1" applyBorder="1" applyAlignment="1" applyProtection="1">
      <alignment horizontal="right" vertical="center" wrapText="1" indent="1"/>
    </xf>
    <xf numFmtId="165" fontId="27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4" xfId="21" applyNumberFormat="1" applyFont="1" applyFill="1" applyBorder="1" applyAlignment="1" applyProtection="1">
      <alignment horizontal="right" vertical="center" wrapText="1" indent="1"/>
    </xf>
    <xf numFmtId="165" fontId="30" fillId="0" borderId="14" xfId="0" quotePrefix="1" applyNumberFormat="1" applyFont="1" applyBorder="1" applyAlignment="1" applyProtection="1">
      <alignment horizontal="right" vertical="center" wrapText="1" indent="1"/>
    </xf>
    <xf numFmtId="3" fontId="33" fillId="0" borderId="0" xfId="0" applyNumberFormat="1" applyFont="1" applyFill="1" applyAlignment="1" applyProtection="1">
      <alignment vertical="center"/>
    </xf>
    <xf numFmtId="3" fontId="33" fillId="0" borderId="0" xfId="0" applyNumberFormat="1" applyFont="1" applyFill="1" applyAlignment="1" applyProtection="1">
      <alignment horizontal="center" vertical="center" wrapText="1"/>
    </xf>
    <xf numFmtId="3" fontId="38" fillId="0" borderId="0" xfId="0" applyNumberFormat="1" applyFont="1" applyFill="1" applyAlignment="1" applyProtection="1">
      <alignment vertical="center" wrapText="1"/>
    </xf>
    <xf numFmtId="165" fontId="3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3" fillId="0" borderId="38" xfId="19" applyNumberFormat="1" applyFont="1" applyBorder="1"/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21" applyFont="1" applyFill="1" applyAlignment="1" applyProtection="1"/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3" xfId="0" applyNumberFormat="1" applyFont="1" applyFill="1" applyBorder="1" applyAlignment="1" applyProtection="1">
      <alignment horizontal="centerContinuous" vertical="center" wrapText="1"/>
    </xf>
    <xf numFmtId="165" fontId="35" fillId="0" borderId="14" xfId="0" applyNumberFormat="1" applyFont="1" applyFill="1" applyBorder="1" applyAlignment="1" applyProtection="1">
      <alignment horizontal="centerContinuous" vertical="center" wrapText="1"/>
    </xf>
    <xf numFmtId="165" fontId="35" fillId="0" borderId="19" xfId="0" applyNumberFormat="1" applyFont="1" applyFill="1" applyBorder="1" applyAlignment="1" applyProtection="1">
      <alignment horizontal="centerContinuous" vertical="center" wrapText="1"/>
    </xf>
    <xf numFmtId="165" fontId="35" fillId="0" borderId="13" xfId="0" applyNumberFormat="1" applyFont="1" applyFill="1" applyBorder="1" applyAlignment="1" applyProtection="1">
      <alignment horizontal="center" vertical="center" wrapText="1"/>
    </xf>
    <xf numFmtId="0" fontId="35" fillId="0" borderId="19" xfId="21" applyFont="1" applyFill="1" applyBorder="1" applyAlignment="1" applyProtection="1">
      <alignment horizontal="center" vertical="center" wrapText="1"/>
    </xf>
    <xf numFmtId="165" fontId="35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4" fillId="0" borderId="43" xfId="0" applyNumberFormat="1" applyFont="1" applyFill="1" applyBorder="1" applyAlignment="1" applyProtection="1">
      <alignment horizontal="left" vertical="center" wrapText="1" indent="1"/>
    </xf>
    <xf numFmtId="165" fontId="34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5" fillId="0" borderId="11" xfId="21" applyFont="1" applyFill="1" applyBorder="1" applyAlignment="1" applyProtection="1">
      <alignment horizontal="center" vertical="center" wrapText="1"/>
    </xf>
    <xf numFmtId="0" fontId="25" fillId="0" borderId="4" xfId="21" applyFont="1" applyFill="1" applyBorder="1" applyAlignment="1" applyProtection="1">
      <alignment horizontal="center" vertical="center" wrapText="1"/>
    </xf>
    <xf numFmtId="0" fontId="25" fillId="0" borderId="17" xfId="21" applyFont="1" applyFill="1" applyBorder="1" applyAlignment="1" applyProtection="1">
      <alignment horizontal="center" vertical="center" wrapText="1"/>
    </xf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center" vertical="center"/>
    </xf>
    <xf numFmtId="0" fontId="27" fillId="0" borderId="19" xfId="21" applyFont="1" applyFill="1" applyBorder="1" applyAlignment="1" applyProtection="1">
      <alignment horizontal="center" vertical="center"/>
    </xf>
    <xf numFmtId="0" fontId="27" fillId="0" borderId="2" xfId="21" applyFont="1" applyFill="1" applyBorder="1" applyAlignment="1" applyProtection="1">
      <alignment horizontal="left"/>
      <protection locked="0"/>
    </xf>
    <xf numFmtId="0" fontId="27" fillId="0" borderId="3" xfId="21" applyFont="1" applyFill="1" applyBorder="1" applyAlignment="1" applyProtection="1">
      <alignment horizontal="left"/>
      <protection locked="0"/>
    </xf>
    <xf numFmtId="166" fontId="27" fillId="0" borderId="23" xfId="26" applyNumberFormat="1" applyFont="1" applyFill="1" applyBorder="1" applyProtection="1">
      <protection locked="0"/>
    </xf>
    <xf numFmtId="166" fontId="25" fillId="0" borderId="23" xfId="26" applyNumberFormat="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11" fillId="0" borderId="0" xfId="21" applyFont="1" applyFill="1"/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left" vertical="center" wrapText="1"/>
    </xf>
    <xf numFmtId="166" fontId="25" fillId="0" borderId="19" xfId="26" applyNumberFormat="1" applyFont="1" applyFill="1" applyBorder="1" applyProtection="1"/>
    <xf numFmtId="166" fontId="36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40" fillId="0" borderId="24" xfId="21" applyNumberFormat="1" applyFont="1" applyFill="1" applyBorder="1" applyAlignment="1" applyProtection="1">
      <alignment horizontal="right" vertical="center" indent="1"/>
    </xf>
    <xf numFmtId="3" fontId="40" fillId="0" borderId="0" xfId="21" applyNumberFormat="1" applyFont="1" applyFill="1" applyBorder="1" applyAlignment="1" applyProtection="1">
      <alignment horizontal="right" vertical="center" indent="1"/>
    </xf>
    <xf numFmtId="3" fontId="12" fillId="0" borderId="0" xfId="0" applyNumberFormat="1" applyFont="1" applyFill="1" applyBorder="1" applyAlignment="1" applyProtection="1">
      <alignment horizontal="right" vertical="center" indent="1"/>
    </xf>
    <xf numFmtId="3" fontId="25" fillId="0" borderId="62" xfId="21" applyNumberFormat="1" applyFont="1" applyFill="1" applyBorder="1" applyAlignment="1" applyProtection="1">
      <alignment horizontal="right" vertical="center" wrapText="1" indent="1"/>
    </xf>
    <xf numFmtId="3" fontId="25" fillId="0" borderId="28" xfId="21" applyNumberFormat="1" applyFont="1" applyFill="1" applyBorder="1" applyAlignment="1" applyProtection="1">
      <alignment horizontal="right" vertical="center" wrapText="1" indent="1"/>
    </xf>
    <xf numFmtId="3" fontId="25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50" xfId="21" applyNumberFormat="1" applyFont="1" applyFill="1" applyBorder="1" applyAlignment="1" applyProtection="1">
      <alignment horizontal="right" vertical="center" wrapText="1" indent="1"/>
    </xf>
    <xf numFmtId="3" fontId="27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51" xfId="21" applyNumberFormat="1" applyFont="1" applyFill="1" applyBorder="1" applyAlignment="1" applyProtection="1">
      <alignment horizontal="right" vertical="center" wrapText="1" indent="1"/>
    </xf>
    <xf numFmtId="3" fontId="27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40" fillId="0" borderId="24" xfId="21" applyNumberFormat="1" applyFont="1" applyFill="1" applyBorder="1" applyAlignment="1" applyProtection="1">
      <alignment horizontal="right" indent="1"/>
    </xf>
    <xf numFmtId="3" fontId="12" fillId="0" borderId="24" xfId="0" applyNumberFormat="1" applyFont="1" applyFill="1" applyBorder="1" applyAlignment="1" applyProtection="1">
      <alignment horizontal="right" vertical="center" indent="1"/>
    </xf>
    <xf numFmtId="3" fontId="25" fillId="0" borderId="33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49" xfId="0" quotePrefix="1" applyFont="1" applyBorder="1" applyAlignment="1" applyProtection="1">
      <alignment horizontal="left" wrapText="1" indent="1"/>
    </xf>
    <xf numFmtId="165" fontId="18" fillId="0" borderId="0" xfId="21" applyNumberFormat="1" applyFont="1" applyFill="1" applyProtection="1"/>
    <xf numFmtId="165" fontId="67" fillId="0" borderId="19" xfId="0" applyNumberFormat="1" applyFont="1" applyFill="1" applyBorder="1" applyAlignment="1" applyProtection="1">
      <alignment horizontal="right" vertical="center" wrapText="1" indent="1"/>
    </xf>
    <xf numFmtId="165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5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1" fillId="0" borderId="0" xfId="25" applyFont="1" applyBorder="1"/>
    <xf numFmtId="0" fontId="34" fillId="0" borderId="47" xfId="24" quotePrefix="1" applyFont="1" applyBorder="1"/>
    <xf numFmtId="0" fontId="27" fillId="0" borderId="30" xfId="25" applyFont="1" applyBorder="1"/>
    <xf numFmtId="0" fontId="36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165" fontId="34" fillId="0" borderId="8" xfId="0" applyNumberFormat="1" applyFont="1" applyFill="1" applyBorder="1" applyAlignment="1" applyProtection="1">
      <alignment horizontal="left" vertical="center" wrapText="1" indent="3"/>
    </xf>
    <xf numFmtId="166" fontId="34" fillId="0" borderId="57" xfId="26" applyNumberFormat="1" applyFont="1" applyFill="1" applyBorder="1" applyProtection="1">
      <protection locked="0"/>
    </xf>
    <xf numFmtId="0" fontId="34" fillId="0" borderId="10" xfId="21" applyFont="1" applyFill="1" applyBorder="1" applyAlignment="1" applyProtection="1">
      <alignment horizontal="center" vertical="center"/>
    </xf>
    <xf numFmtId="0" fontId="10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8" fillId="0" borderId="19" xfId="26" applyNumberFormat="1" applyFont="1" applyFill="1" applyBorder="1" applyAlignment="1" applyProtection="1">
      <alignment horizontal="right" vertical="center" wrapText="1" indent="1"/>
    </xf>
    <xf numFmtId="165" fontId="18" fillId="0" borderId="0" xfId="0" applyNumberFormat="1" applyFont="1" applyFill="1" applyAlignment="1">
      <alignment vertical="center" wrapText="1"/>
    </xf>
    <xf numFmtId="0" fontId="8" fillId="0" borderId="0" xfId="21" applyNumberFormat="1" applyFont="1" applyFill="1"/>
    <xf numFmtId="0" fontId="36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6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18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4" fillId="0" borderId="9" xfId="0" applyFont="1" applyBorder="1" applyAlignment="1" applyProtection="1">
      <alignment horizontal="right" vertical="center" indent="1"/>
    </xf>
    <xf numFmtId="0" fontId="34" fillId="0" borderId="3" xfId="0" applyFont="1" applyBorder="1" applyAlignment="1" applyProtection="1">
      <alignment horizontal="left" vertical="center"/>
      <protection locked="0"/>
    </xf>
    <xf numFmtId="0" fontId="36" fillId="0" borderId="13" xfId="0" applyFont="1" applyBorder="1" applyAlignment="1" applyProtection="1">
      <alignment horizontal="center" vertical="center" wrapText="1"/>
    </xf>
    <xf numFmtId="0" fontId="36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1" fillId="0" borderId="78" xfId="19" applyNumberFormat="1" applyFont="1" applyBorder="1"/>
    <xf numFmtId="3" fontId="41" fillId="0" borderId="3" xfId="19" applyNumberFormat="1" applyFont="1" applyBorder="1"/>
    <xf numFmtId="3" fontId="41" fillId="0" borderId="9" xfId="19" applyNumberFormat="1" applyFont="1" applyBorder="1"/>
    <xf numFmtId="3" fontId="41" fillId="0" borderId="11" xfId="19" applyNumberFormat="1" applyFont="1" applyBorder="1"/>
    <xf numFmtId="3" fontId="41" fillId="0" borderId="4" xfId="19" applyNumberFormat="1" applyFont="1" applyBorder="1"/>
    <xf numFmtId="3" fontId="72" fillId="0" borderId="21" xfId="19" applyNumberFormat="1" applyFont="1" applyBorder="1"/>
    <xf numFmtId="3" fontId="41" fillId="0" borderId="21" xfId="19" applyNumberFormat="1" applyFont="1" applyBorder="1"/>
    <xf numFmtId="3" fontId="41" fillId="0" borderId="55" xfId="19" applyNumberFormat="1" applyFont="1" applyBorder="1"/>
    <xf numFmtId="3" fontId="41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3" fontId="58" fillId="0" borderId="4" xfId="19" applyNumberFormat="1" applyFont="1" applyBorder="1"/>
    <xf numFmtId="3" fontId="26" fillId="0" borderId="61" xfId="19" applyNumberFormat="1" applyFont="1" applyBorder="1"/>
    <xf numFmtId="3" fontId="58" fillId="0" borderId="21" xfId="19" applyNumberFormat="1" applyFont="1" applyBorder="1"/>
    <xf numFmtId="3" fontId="26" fillId="0" borderId="59" xfId="19" applyNumberFormat="1" applyFont="1" applyBorder="1"/>
    <xf numFmtId="0" fontId="14" fillId="0" borderId="24" xfId="19" applyFont="1" applyBorder="1" applyAlignment="1">
      <alignment horizontal="center"/>
    </xf>
    <xf numFmtId="3" fontId="41" fillId="0" borderId="1" xfId="19" applyNumberFormat="1" applyFont="1" applyBorder="1"/>
    <xf numFmtId="3" fontId="41" fillId="0" borderId="67" xfId="19" applyNumberFormat="1" applyFont="1" applyBorder="1"/>
    <xf numFmtId="3" fontId="41" fillId="0" borderId="7" xfId="19" applyNumberFormat="1" applyFont="1" applyBorder="1"/>
    <xf numFmtId="3" fontId="41" fillId="0" borderId="67" xfId="19" applyNumberFormat="1" applyFont="1" applyFill="1" applyBorder="1"/>
    <xf numFmtId="3" fontId="41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41" fillId="0" borderId="12" xfId="19" applyNumberFormat="1" applyFont="1" applyBorder="1"/>
    <xf numFmtId="0" fontId="33" fillId="0" borderId="0" xfId="19" applyFont="1"/>
    <xf numFmtId="0" fontId="33" fillId="0" borderId="0" xfId="19" applyFont="1" applyAlignment="1">
      <alignment horizontal="centerContinuous"/>
    </xf>
    <xf numFmtId="0" fontId="35" fillId="0" borderId="23" xfId="19" applyFont="1" applyBorder="1" applyAlignment="1">
      <alignment horizontal="center"/>
    </xf>
    <xf numFmtId="0" fontId="35" fillId="0" borderId="26" xfId="19" applyFont="1" applyBorder="1" applyAlignment="1">
      <alignment horizontal="center"/>
    </xf>
    <xf numFmtId="3" fontId="35" fillId="0" borderId="22" xfId="19" applyNumberFormat="1" applyFont="1" applyBorder="1"/>
    <xf numFmtId="3" fontId="35" fillId="0" borderId="58" xfId="19" applyNumberFormat="1" applyFont="1" applyBorder="1"/>
    <xf numFmtId="3" fontId="35" fillId="0" borderId="21" xfId="19" applyNumberFormat="1" applyFont="1" applyBorder="1"/>
    <xf numFmtId="3" fontId="35" fillId="0" borderId="6" xfId="19" applyNumberFormat="1" applyFont="1" applyBorder="1"/>
    <xf numFmtId="3" fontId="41" fillId="0" borderId="47" xfId="19" applyNumberFormat="1" applyFont="1" applyBorder="1"/>
    <xf numFmtId="3" fontId="35" fillId="0" borderId="0" xfId="19" applyNumberFormat="1" applyFont="1" applyBorder="1"/>
    <xf numFmtId="3" fontId="26" fillId="0" borderId="41" xfId="19" applyNumberFormat="1" applyFont="1" applyBorder="1"/>
    <xf numFmtId="0" fontId="21" fillId="0" borderId="0" xfId="21" applyFont="1" applyFill="1" applyBorder="1" applyProtection="1"/>
    <xf numFmtId="165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7" fillId="0" borderId="0" xfId="0" applyNumberFormat="1" applyFont="1" applyFill="1" applyAlignment="1" applyProtection="1">
      <alignment horizontal="right" wrapText="1"/>
    </xf>
    <xf numFmtId="165" fontId="35" fillId="0" borderId="13" xfId="0" applyNumberFormat="1" applyFont="1" applyFill="1" applyBorder="1" applyAlignment="1" applyProtection="1">
      <alignment horizontal="left" vertical="center" wrapText="1"/>
    </xf>
    <xf numFmtId="165" fontId="35" fillId="0" borderId="14" xfId="0" applyNumberFormat="1" applyFont="1" applyFill="1" applyBorder="1" applyAlignment="1" applyProtection="1">
      <alignment vertical="center" wrapText="1"/>
    </xf>
    <xf numFmtId="165" fontId="35" fillId="0" borderId="19" xfId="0" applyNumberFormat="1" applyFont="1" applyFill="1" applyBorder="1" applyAlignment="1" applyProtection="1">
      <alignment vertical="center" wrapText="1"/>
    </xf>
    <xf numFmtId="165" fontId="65" fillId="0" borderId="0" xfId="0" applyNumberFormat="1" applyFont="1" applyFill="1" applyAlignment="1">
      <alignment vertical="center" wrapText="1"/>
    </xf>
    <xf numFmtId="165" fontId="68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3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7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93" fillId="0" borderId="0" xfId="25" applyFont="1" applyAlignment="1">
      <alignment horizontal="centerContinuous"/>
    </xf>
    <xf numFmtId="0" fontId="94" fillId="0" borderId="0" xfId="25" applyFont="1" applyAlignment="1">
      <alignment horizontal="right"/>
    </xf>
    <xf numFmtId="0" fontId="71" fillId="0" borderId="2" xfId="25" applyFont="1" applyBorder="1" applyAlignment="1">
      <alignment horizontal="center"/>
    </xf>
    <xf numFmtId="0" fontId="71" fillId="0" borderId="18" xfId="25" applyFont="1" applyBorder="1" applyAlignment="1">
      <alignment horizontal="center"/>
    </xf>
    <xf numFmtId="0" fontId="66" fillId="0" borderId="8" xfId="25" applyFont="1" applyBorder="1" applyAlignment="1">
      <alignment horizontal="left"/>
    </xf>
    <xf numFmtId="0" fontId="66" fillId="0" borderId="8" xfId="24" applyFont="1" applyBorder="1" applyAlignment="1">
      <alignment horizontal="left"/>
    </xf>
    <xf numFmtId="0" fontId="70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9" fontId="34" fillId="0" borderId="76" xfId="24" applyNumberFormat="1" applyFont="1" applyBorder="1"/>
    <xf numFmtId="0" fontId="10" fillId="0" borderId="11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vertical="center" wrapText="1"/>
    </xf>
    <xf numFmtId="4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4" fillId="0" borderId="47" xfId="24" applyNumberFormat="1" applyFont="1" applyBorder="1"/>
    <xf numFmtId="0" fontId="34" fillId="0" borderId="47" xfId="24" quotePrefix="1" applyFont="1" applyFill="1" applyBorder="1"/>
    <xf numFmtId="0" fontId="89" fillId="0" borderId="0" xfId="25" applyFont="1" applyAlignment="1">
      <alignment vertical="center"/>
    </xf>
    <xf numFmtId="0" fontId="66" fillId="0" borderId="30" xfId="24" quotePrefix="1" applyFont="1" applyFill="1" applyBorder="1" applyAlignment="1">
      <alignment vertical="center" wrapText="1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79" fillId="0" borderId="34" xfId="0" applyNumberFormat="1" applyFont="1" applyFill="1" applyBorder="1" applyAlignment="1" applyProtection="1">
      <alignment horizontal="left" vertical="center" wrapText="1"/>
    </xf>
    <xf numFmtId="165" fontId="79" fillId="0" borderId="19" xfId="0" applyNumberFormat="1" applyFont="1" applyFill="1" applyBorder="1" applyAlignment="1" applyProtection="1">
      <alignment vertical="center" wrapText="1"/>
    </xf>
    <xf numFmtId="165" fontId="35" fillId="0" borderId="15" xfId="0" applyNumberFormat="1" applyFont="1" applyFill="1" applyBorder="1" applyAlignment="1" applyProtection="1">
      <alignment horizontal="center" vertical="center" wrapText="1"/>
    </xf>
    <xf numFmtId="165" fontId="35" fillId="0" borderId="16" xfId="0" applyNumberFormat="1" applyFont="1" applyFill="1" applyBorder="1" applyAlignment="1" applyProtection="1">
      <alignment horizontal="center" vertical="center" wrapText="1"/>
    </xf>
    <xf numFmtId="165" fontId="35" fillId="0" borderId="28" xfId="0" applyNumberFormat="1" applyFont="1" applyFill="1" applyBorder="1" applyAlignment="1" applyProtection="1">
      <alignment horizontal="center" vertical="center" wrapText="1"/>
    </xf>
    <xf numFmtId="165" fontId="33" fillId="0" borderId="11" xfId="0" applyNumberFormat="1" applyFont="1" applyFill="1" applyBorder="1" applyAlignment="1" applyProtection="1">
      <alignment horizontal="center" vertical="center" wrapText="1"/>
    </xf>
    <xf numFmtId="165" fontId="33" fillId="0" borderId="4" xfId="0" applyNumberFormat="1" applyFont="1" applyFill="1" applyBorder="1" applyAlignment="1" applyProtection="1">
      <alignment horizontal="center" vertical="center" wrapText="1"/>
    </xf>
    <xf numFmtId="165" fontId="33" fillId="0" borderId="17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8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9" fillId="0" borderId="0" xfId="0" applyFont="1"/>
    <xf numFmtId="0" fontId="107" fillId="0" borderId="0" xfId="0" applyFont="1"/>
    <xf numFmtId="0" fontId="18" fillId="0" borderId="0" xfId="21" applyFont="1" applyFill="1" applyProtection="1"/>
    <xf numFmtId="0" fontId="18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1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1" fillId="0" borderId="0" xfId="0" applyNumberFormat="1" applyFont="1" applyFill="1" applyAlignment="1">
      <alignment horizontal="right" indent="1"/>
    </xf>
    <xf numFmtId="0" fontId="41" fillId="0" borderId="0" xfId="0" applyFont="1" applyFill="1" applyAlignment="1">
      <alignment horizontal="right" indent="1"/>
    </xf>
    <xf numFmtId="0" fontId="29" fillId="0" borderId="0" xfId="0" applyFont="1" applyFill="1"/>
    <xf numFmtId="3" fontId="35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1" fillId="0" borderId="0" xfId="0" applyFont="1"/>
    <xf numFmtId="0" fontId="41" fillId="0" borderId="0" xfId="0" applyFont="1" applyAlignment="1">
      <alignment horizontal="right" indent="1"/>
    </xf>
    <xf numFmtId="165" fontId="7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3" xfId="0" applyNumberFormat="1" applyFont="1" applyFill="1" applyBorder="1" applyAlignment="1">
      <alignment vertical="center" wrapText="1"/>
    </xf>
    <xf numFmtId="0" fontId="110" fillId="0" borderId="41" xfId="28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6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21" applyFont="1" applyFill="1" applyAlignment="1" applyProtection="1">
      <alignment horizontal="right"/>
    </xf>
    <xf numFmtId="0" fontId="8" fillId="0" borderId="0" xfId="21" applyFont="1" applyFill="1"/>
    <xf numFmtId="165" fontId="11" fillId="0" borderId="0" xfId="21" applyNumberFormat="1" applyFont="1" applyFill="1" applyBorder="1" applyAlignment="1" applyProtection="1">
      <alignment horizontal="centerContinuous" vertical="center"/>
    </xf>
    <xf numFmtId="165" fontId="10" fillId="0" borderId="0" xfId="21" applyNumberFormat="1" applyFont="1" applyFill="1" applyBorder="1" applyAlignment="1" applyProtection="1">
      <alignment horizontal="centerContinuous" vertical="center"/>
    </xf>
    <xf numFmtId="14" fontId="36" fillId="0" borderId="4" xfId="21" applyNumberFormat="1" applyFont="1" applyFill="1" applyBorder="1" applyAlignment="1">
      <alignment horizontal="center" vertical="center" wrapText="1"/>
    </xf>
    <xf numFmtId="0" fontId="21" fillId="0" borderId="27" xfId="21" applyFont="1" applyFill="1" applyBorder="1" applyAlignment="1">
      <alignment horizontal="center" vertical="center"/>
    </xf>
    <xf numFmtId="0" fontId="21" fillId="0" borderId="33" xfId="21" applyFont="1" applyFill="1" applyBorder="1" applyAlignment="1">
      <alignment horizontal="center" vertical="center"/>
    </xf>
    <xf numFmtId="0" fontId="21" fillId="0" borderId="14" xfId="21" applyFont="1" applyFill="1" applyBorder="1" applyAlignment="1">
      <alignment horizontal="center" vertical="center"/>
    </xf>
    <xf numFmtId="0" fontId="21" fillId="0" borderId="19" xfId="21" applyFont="1" applyFill="1" applyBorder="1" applyAlignment="1">
      <alignment horizontal="center" vertical="center"/>
    </xf>
    <xf numFmtId="0" fontId="21" fillId="0" borderId="41" xfId="21" applyFont="1" applyFill="1" applyBorder="1" applyAlignment="1">
      <alignment horizontal="center" vertical="center"/>
    </xf>
    <xf numFmtId="0" fontId="21" fillId="0" borderId="5" xfId="21" applyFont="1" applyFill="1" applyBorder="1" applyAlignment="1" applyProtection="1">
      <alignment wrapText="1"/>
      <protection locked="0"/>
    </xf>
    <xf numFmtId="3" fontId="21" fillId="0" borderId="2" xfId="21" applyNumberFormat="1" applyFont="1" applyFill="1" applyBorder="1" applyAlignment="1" applyProtection="1">
      <alignment horizontal="right"/>
      <protection locked="0"/>
    </xf>
    <xf numFmtId="16" fontId="8" fillId="0" borderId="0" xfId="21" applyNumberFormat="1" applyFont="1" applyFill="1"/>
    <xf numFmtId="0" fontId="27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1" fillId="0" borderId="8" xfId="21" applyFont="1" applyFill="1" applyBorder="1" applyAlignment="1" applyProtection="1">
      <alignment wrapText="1"/>
      <protection locked="0"/>
    </xf>
    <xf numFmtId="3" fontId="21" fillId="0" borderId="2" xfId="21" applyNumberFormat="1" applyFont="1" applyFill="1" applyBorder="1" applyAlignment="1" applyProtection="1">
      <alignment horizontal="right" wrapText="1"/>
      <protection locked="0"/>
    </xf>
    <xf numFmtId="0" fontId="21" fillId="0" borderId="67" xfId="21" applyFont="1" applyFill="1" applyBorder="1" applyAlignment="1" applyProtection="1">
      <alignment wrapText="1"/>
      <protection locked="0"/>
    </xf>
    <xf numFmtId="3" fontId="21" fillId="0" borderId="1" xfId="21" applyNumberFormat="1" applyFont="1" applyFill="1" applyBorder="1" applyAlignment="1" applyProtection="1">
      <alignment horizontal="right"/>
      <protection locked="0"/>
    </xf>
    <xf numFmtId="0" fontId="21" fillId="0" borderId="2" xfId="21" applyFont="1" applyFill="1" applyBorder="1" applyAlignment="1" applyProtection="1">
      <alignment wrapText="1"/>
      <protection locked="0"/>
    </xf>
    <xf numFmtId="0" fontId="21" fillId="0" borderId="75" xfId="21" applyFont="1" applyFill="1" applyBorder="1" applyAlignment="1">
      <alignment horizontal="center" vertical="center"/>
    </xf>
    <xf numFmtId="0" fontId="36" fillId="0" borderId="33" xfId="21" applyFont="1" applyFill="1" applyBorder="1"/>
    <xf numFmtId="3" fontId="36" fillId="0" borderId="14" xfId="21" applyNumberFormat="1" applyFont="1" applyFill="1" applyBorder="1" applyAlignment="1">
      <alignment horizontal="right"/>
    </xf>
    <xf numFmtId="0" fontId="34" fillId="0" borderId="0" xfId="21" applyFont="1" applyFill="1"/>
    <xf numFmtId="14" fontId="8" fillId="0" borderId="0" xfId="21" applyNumberFormat="1" applyFont="1" applyFill="1" applyAlignment="1">
      <alignment horizontal="left"/>
    </xf>
    <xf numFmtId="3" fontId="36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88" fillId="0" borderId="19" xfId="0" applyNumberFormat="1" applyFont="1" applyFill="1" applyBorder="1" applyAlignment="1" applyProtection="1">
      <alignment horizontal="center" vertical="center" wrapText="1"/>
    </xf>
    <xf numFmtId="3" fontId="34" fillId="0" borderId="0" xfId="0" applyNumberFormat="1" applyFont="1" applyFill="1" applyBorder="1" applyAlignment="1" applyProtection="1">
      <alignment vertical="center"/>
    </xf>
    <xf numFmtId="3" fontId="33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Protection="1"/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Fill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165" fontId="13" fillId="0" borderId="0" xfId="0" applyNumberFormat="1" applyFont="1" applyFill="1" applyAlignment="1">
      <alignment horizontal="center" vertical="center" wrapText="1"/>
    </xf>
    <xf numFmtId="3" fontId="68" fillId="0" borderId="0" xfId="0" applyNumberFormat="1" applyFont="1" applyFill="1"/>
    <xf numFmtId="3" fontId="34" fillId="0" borderId="19" xfId="0" applyNumberFormat="1" applyFont="1" applyFill="1" applyBorder="1" applyAlignment="1" applyProtection="1">
      <alignment vertical="center"/>
    </xf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38" fillId="0" borderId="8" xfId="0" quotePrefix="1" applyNumberFormat="1" applyFont="1" applyFill="1" applyBorder="1" applyAlignment="1" applyProtection="1">
      <alignment horizontal="left" vertical="center" indent="1"/>
    </xf>
    <xf numFmtId="3" fontId="38" fillId="0" borderId="2" xfId="0" applyNumberFormat="1" applyFont="1" applyFill="1" applyBorder="1" applyAlignment="1" applyProtection="1">
      <alignment vertical="center"/>
      <protection locked="0"/>
    </xf>
    <xf numFmtId="3" fontId="38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4" fillId="0" borderId="14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4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8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8" fillId="0" borderId="0" xfId="21" applyFill="1"/>
    <xf numFmtId="0" fontId="18" fillId="0" borderId="0" xfId="21" applyFont="1" applyFill="1"/>
    <xf numFmtId="3" fontId="27" fillId="0" borderId="0" xfId="0" applyNumberFormat="1" applyFont="1" applyFill="1" applyAlignment="1">
      <alignment vertical="center" wrapText="1"/>
    </xf>
    <xf numFmtId="3" fontId="27" fillId="0" borderId="0" xfId="0" applyNumberFormat="1" applyFont="1" applyFill="1" applyAlignment="1">
      <alignment horizontal="right" vertical="center" wrapText="1"/>
    </xf>
    <xf numFmtId="3" fontId="27" fillId="0" borderId="0" xfId="0" applyNumberFormat="1" applyFont="1" applyFill="1" applyAlignment="1" applyProtection="1">
      <alignment vertical="center" wrapText="1"/>
    </xf>
    <xf numFmtId="3" fontId="34" fillId="0" borderId="0" xfId="23" applyNumberFormat="1" applyFont="1" applyFill="1" applyProtection="1">
      <protection locked="0"/>
    </xf>
    <xf numFmtId="0" fontId="34" fillId="0" borderId="2" xfId="0" applyFont="1" applyBorder="1" applyAlignment="1" applyProtection="1">
      <alignment horizontal="left" vertical="center"/>
      <protection locked="0"/>
    </xf>
    <xf numFmtId="0" fontId="35" fillId="0" borderId="15" xfId="0" applyFont="1" applyFill="1" applyBorder="1" applyAlignment="1" applyProtection="1">
      <alignment vertical="center"/>
    </xf>
    <xf numFmtId="0" fontId="35" fillId="0" borderId="16" xfId="0" applyFont="1" applyFill="1" applyBorder="1" applyAlignment="1" applyProtection="1">
      <alignment horizontal="center" vertical="center"/>
    </xf>
    <xf numFmtId="0" fontId="35" fillId="0" borderId="28" xfId="0" applyFont="1" applyFill="1" applyBorder="1" applyAlignment="1" applyProtection="1">
      <alignment horizontal="center" vertical="center"/>
    </xf>
    <xf numFmtId="49" fontId="35" fillId="0" borderId="13" xfId="0" applyNumberFormat="1" applyFont="1" applyFill="1" applyBorder="1" applyAlignment="1" applyProtection="1">
      <alignment vertical="center"/>
    </xf>
    <xf numFmtId="3" fontId="33" fillId="0" borderId="14" xfId="0" applyNumberFormat="1" applyFont="1" applyFill="1" applyBorder="1" applyAlignment="1" applyProtection="1">
      <alignment vertical="center"/>
    </xf>
    <xf numFmtId="3" fontId="33" fillId="0" borderId="19" xfId="0" applyNumberFormat="1" applyFont="1" applyFill="1" applyBorder="1" applyAlignment="1" applyProtection="1">
      <alignment vertical="center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8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4" fillId="0" borderId="0" xfId="0" applyNumberFormat="1" applyFont="1" applyFill="1" applyAlignment="1" applyProtection="1">
      <alignment vertical="center" wrapText="1"/>
    </xf>
    <xf numFmtId="0" fontId="9" fillId="0" borderId="0" xfId="20" applyFont="1" applyAlignment="1"/>
    <xf numFmtId="3" fontId="34" fillId="0" borderId="20" xfId="0" applyNumberFormat="1" applyFont="1" applyFill="1" applyBorder="1" applyAlignment="1" applyProtection="1">
      <alignment horizontal="right" vertical="center" indent="1"/>
      <protection locked="0"/>
    </xf>
    <xf numFmtId="0" fontId="0" fillId="0" borderId="47" xfId="20" applyFont="1" applyBorder="1"/>
    <xf numFmtId="0" fontId="34" fillId="0" borderId="5" xfId="21" applyNumberFormat="1" applyFont="1" applyFill="1" applyBorder="1" applyAlignment="1" applyProtection="1">
      <alignment wrapText="1"/>
      <protection locked="0"/>
    </xf>
    <xf numFmtId="3" fontId="34" fillId="0" borderId="2" xfId="21" applyNumberFormat="1" applyFont="1" applyFill="1" applyBorder="1" applyAlignment="1" applyProtection="1">
      <alignment horizontal="center" vertical="center"/>
      <protection locked="0"/>
    </xf>
    <xf numFmtId="2" fontId="31" fillId="0" borderId="20" xfId="25" applyNumberFormat="1" applyFont="1" applyFill="1" applyBorder="1"/>
    <xf numFmtId="2" fontId="31" fillId="0" borderId="18" xfId="25" applyNumberFormat="1" applyFont="1" applyFill="1" applyBorder="1"/>
    <xf numFmtId="2" fontId="95" fillId="0" borderId="18" xfId="25" applyNumberFormat="1" applyFont="1" applyFill="1" applyBorder="1"/>
    <xf numFmtId="2" fontId="31" fillId="0" borderId="23" xfId="25" applyNumberFormat="1" applyFont="1" applyFill="1" applyBorder="1"/>
    <xf numFmtId="2" fontId="95" fillId="0" borderId="23" xfId="25" applyNumberFormat="1" applyFont="1" applyFill="1" applyBorder="1" applyAlignment="1">
      <alignment vertical="center"/>
    </xf>
    <xf numFmtId="2" fontId="31" fillId="0" borderId="23" xfId="25" applyNumberFormat="1" applyFont="1" applyBorder="1"/>
    <xf numFmtId="2" fontId="32" fillId="0" borderId="19" xfId="25" applyNumberFormat="1" applyFont="1" applyBorder="1"/>
    <xf numFmtId="171" fontId="1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5" fillId="0" borderId="27" xfId="0" applyNumberFormat="1" applyFont="1" applyFill="1" applyBorder="1" applyAlignment="1">
      <alignment horizontal="right" vertical="center" wrapText="1"/>
    </xf>
    <xf numFmtId="3" fontId="80" fillId="0" borderId="8" xfId="19" applyNumberFormat="1" applyFont="1" applyBorder="1"/>
    <xf numFmtId="0" fontId="0" fillId="0" borderId="2" xfId="0" applyBorder="1" applyAlignment="1">
      <alignment wrapText="1"/>
    </xf>
    <xf numFmtId="3" fontId="72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5" fillId="0" borderId="8" xfId="19" applyNumberFormat="1" applyFont="1" applyBorder="1"/>
    <xf numFmtId="3" fontId="35" fillId="0" borderId="26" xfId="19" applyNumberFormat="1" applyFont="1" applyBorder="1"/>
    <xf numFmtId="0" fontId="18" fillId="0" borderId="0" xfId="21" applyFont="1" applyFill="1" applyProtection="1"/>
    <xf numFmtId="0" fontId="18" fillId="0" borderId="0" xfId="21" applyFont="1" applyFill="1" applyAlignment="1" applyProtection="1">
      <alignment horizontal="right" vertical="center" indent="1"/>
    </xf>
    <xf numFmtId="0" fontId="18" fillId="0" borderId="0" xfId="21" applyFill="1" applyProtection="1"/>
    <xf numFmtId="0" fontId="48" fillId="0" borderId="0" xfId="18"/>
    <xf numFmtId="0" fontId="48" fillId="0" borderId="0" xfId="19"/>
    <xf numFmtId="3" fontId="41" fillId="0" borderId="5" xfId="19" applyNumberFormat="1" applyFont="1" applyBorder="1"/>
    <xf numFmtId="3" fontId="41" fillId="0" borderId="2" xfId="19" applyNumberFormat="1" applyFont="1" applyBorder="1"/>
    <xf numFmtId="3" fontId="14" fillId="0" borderId="38" xfId="19" applyNumberFormat="1" applyFont="1" applyBorder="1"/>
    <xf numFmtId="3" fontId="41" fillId="0" borderId="8" xfId="19" applyNumberFormat="1" applyFont="1" applyBorder="1"/>
    <xf numFmtId="3" fontId="35" fillId="0" borderId="18" xfId="19" applyNumberFormat="1" applyFont="1" applyBorder="1"/>
    <xf numFmtId="3" fontId="41" fillId="0" borderId="74" xfId="19" applyNumberFormat="1" applyFont="1" applyBorder="1"/>
    <xf numFmtId="3" fontId="41" fillId="0" borderId="6" xfId="19" applyNumberFormat="1" applyFont="1" applyBorder="1"/>
    <xf numFmtId="3" fontId="35" fillId="0" borderId="23" xfId="19" applyNumberFormat="1" applyFont="1" applyBorder="1"/>
    <xf numFmtId="3" fontId="41" fillId="0" borderId="10" xfId="19" applyNumberFormat="1" applyFont="1" applyBorder="1"/>
    <xf numFmtId="3" fontId="24" fillId="0" borderId="0" xfId="19" applyNumberFormat="1" applyFont="1" applyBorder="1"/>
    <xf numFmtId="0" fontId="48" fillId="0" borderId="0" xfId="19" applyFont="1"/>
    <xf numFmtId="165" fontId="3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0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0" fontId="103" fillId="0" borderId="16" xfId="0" applyFont="1" applyFill="1" applyBorder="1" applyAlignment="1" applyProtection="1">
      <alignment horizontal="center" vertical="center"/>
    </xf>
    <xf numFmtId="0" fontId="103" fillId="0" borderId="28" xfId="0" applyFont="1" applyFill="1" applyBorder="1" applyAlignment="1" applyProtection="1">
      <alignment horizontal="center" vertical="center"/>
    </xf>
    <xf numFmtId="49" fontId="67" fillId="0" borderId="11" xfId="0" applyNumberFormat="1" applyFont="1" applyFill="1" applyBorder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7" fillId="0" borderId="8" xfId="0" applyNumberFormat="1" applyFont="1" applyFill="1" applyBorder="1" applyAlignment="1" applyProtection="1">
      <alignment vertical="center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7" fillId="0" borderId="18" xfId="0" applyNumberFormat="1" applyFont="1" applyFill="1" applyBorder="1" applyAlignment="1" applyProtection="1">
      <alignment vertical="center"/>
    </xf>
    <xf numFmtId="49" fontId="67" fillId="0" borderId="10" xfId="0" applyNumberFormat="1" applyFont="1" applyFill="1" applyBorder="1" applyAlignment="1" applyProtection="1">
      <alignment vertical="center"/>
      <protection locked="0"/>
    </xf>
    <xf numFmtId="3" fontId="67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0" fillId="0" borderId="0" xfId="0" applyFont="1" applyFill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49" fontId="67" fillId="0" borderId="8" xfId="0" applyNumberFormat="1" applyFont="1" applyFill="1" applyBorder="1" applyAlignment="1" applyProtection="1">
      <alignment horizontal="left" vertical="center"/>
    </xf>
    <xf numFmtId="49" fontId="67" fillId="0" borderId="8" xfId="0" applyNumberFormat="1" applyFont="1" applyFill="1" applyBorder="1" applyAlignment="1" applyProtection="1">
      <alignment vertical="center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</xf>
    <xf numFmtId="3" fontId="71" fillId="0" borderId="21" xfId="26" applyNumberFormat="1" applyFont="1" applyBorder="1" applyAlignment="1">
      <alignment horizontal="right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9" fillId="0" borderId="0" xfId="0" applyNumberFormat="1" applyFont="1" applyFill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 wrapText="1"/>
    </xf>
    <xf numFmtId="166" fontId="65" fillId="0" borderId="32" xfId="26" applyNumberFormat="1" applyFont="1" applyBorder="1" applyAlignment="1"/>
    <xf numFmtId="3" fontId="72" fillId="0" borderId="0" xfId="19" applyNumberFormat="1" applyFont="1" applyBorder="1"/>
    <xf numFmtId="3" fontId="72" fillId="0" borderId="4" xfId="19" applyNumberFormat="1" applyFont="1" applyBorder="1"/>
    <xf numFmtId="3" fontId="72" fillId="0" borderId="38" xfId="19" applyNumberFormat="1" applyFont="1" applyBorder="1"/>
    <xf numFmtId="3" fontId="72" fillId="0" borderId="55" xfId="19" applyNumberFormat="1" applyFont="1" applyBorder="1"/>
    <xf numFmtId="165" fontId="34" fillId="0" borderId="23" xfId="21" applyNumberFormat="1" applyFont="1" applyFill="1" applyBorder="1" applyAlignment="1" applyProtection="1">
      <alignment horizontal="right" vertical="center" wrapText="1" indent="1"/>
    </xf>
    <xf numFmtId="165" fontId="7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3" fontId="25" fillId="0" borderId="22" xfId="26" applyNumberFormat="1" applyFont="1" applyBorder="1" applyAlignment="1">
      <alignment horizontal="right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5" applyNumberFormat="1" applyFont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7" fillId="0" borderId="36" xfId="26" applyNumberFormat="1" applyFont="1" applyBorder="1" applyAlignment="1"/>
    <xf numFmtId="165" fontId="33" fillId="0" borderId="19" xfId="23" applyNumberFormat="1" applyFont="1" applyFill="1" applyBorder="1" applyAlignment="1" applyProtection="1">
      <alignment vertical="center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15" fillId="0" borderId="5" xfId="19" applyNumberFormat="1" applyFont="1" applyBorder="1"/>
    <xf numFmtId="3" fontId="115" fillId="0" borderId="2" xfId="19" applyNumberFormat="1" applyFont="1" applyBorder="1"/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0" fillId="0" borderId="24" xfId="21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8" fillId="0" borderId="0" xfId="23" applyFill="1" applyAlignment="1" applyProtection="1">
      <alignment horizontal="right"/>
    </xf>
    <xf numFmtId="0" fontId="29" fillId="0" borderId="0" xfId="0" applyFont="1" applyAlignment="1">
      <alignment horizontal="center" wrapText="1"/>
    </xf>
    <xf numFmtId="0" fontId="34" fillId="0" borderId="16" xfId="21" applyFont="1" applyFill="1" applyBorder="1" applyAlignment="1" applyProtection="1">
      <alignment horizontal="center" vertical="center" wrapText="1"/>
    </xf>
    <xf numFmtId="0" fontId="17" fillId="0" borderId="0" xfId="48" applyFont="1" applyFill="1" applyBorder="1" applyAlignment="1" applyProtection="1"/>
    <xf numFmtId="3" fontId="21" fillId="0" borderId="2" xfId="49" applyNumberFormat="1" applyFont="1" applyFill="1" applyBorder="1" applyAlignment="1" applyProtection="1">
      <alignment horizontal="right"/>
      <protection locked="0"/>
    </xf>
    <xf numFmtId="3" fontId="36" fillId="0" borderId="20" xfId="49" applyNumberFormat="1" applyFont="1" applyFill="1" applyBorder="1" applyAlignment="1">
      <alignment horizontal="right"/>
    </xf>
    <xf numFmtId="3" fontId="21" fillId="0" borderId="5" xfId="49" applyNumberFormat="1" applyFont="1" applyFill="1" applyBorder="1" applyAlignment="1" applyProtection="1">
      <alignment horizontal="right"/>
      <protection locked="0"/>
    </xf>
    <xf numFmtId="3" fontId="21" fillId="0" borderId="67" xfId="49" applyNumberFormat="1" applyFont="1" applyFill="1" applyBorder="1" applyAlignment="1" applyProtection="1">
      <alignment horizontal="right"/>
      <protection locked="0"/>
    </xf>
    <xf numFmtId="3" fontId="21" fillId="0" borderId="1" xfId="49" applyNumberFormat="1" applyFont="1" applyFill="1" applyBorder="1" applyAlignment="1" applyProtection="1">
      <alignment horizontal="right"/>
      <protection locked="0"/>
    </xf>
    <xf numFmtId="3" fontId="67" fillId="0" borderId="2" xfId="25" applyNumberFormat="1" applyFont="1" applyBorder="1" applyAlignment="1">
      <alignment horizontal="right"/>
    </xf>
    <xf numFmtId="0" fontId="14" fillId="0" borderId="37" xfId="50" applyNumberFormat="1" applyFont="1" applyFill="1" applyBorder="1" applyAlignment="1" applyProtection="1">
      <alignment horizontal="center" vertical="center"/>
    </xf>
    <xf numFmtId="0" fontId="14" fillId="0" borderId="22" xfId="50" applyNumberFormat="1" applyFont="1" applyFill="1" applyBorder="1" applyAlignment="1" applyProtection="1">
      <alignment horizontal="center" vertical="center" wrapText="1"/>
    </xf>
    <xf numFmtId="165" fontId="25" fillId="0" borderId="63" xfId="50" applyNumberFormat="1" applyFont="1" applyFill="1" applyBorder="1" applyAlignment="1" applyProtection="1">
      <alignment horizontal="center" vertical="center" wrapText="1"/>
    </xf>
    <xf numFmtId="0" fontId="25" fillId="0" borderId="61" xfId="50" applyNumberFormat="1" applyFont="1" applyFill="1" applyBorder="1" applyAlignment="1" applyProtection="1">
      <alignment horizontal="center" vertical="center" wrapText="1"/>
    </xf>
    <xf numFmtId="0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61" xfId="50" applyNumberFormat="1" applyFont="1" applyFill="1" applyBorder="1" applyAlignment="1" applyProtection="1">
      <alignment horizontal="center" vertical="center" wrapText="1"/>
    </xf>
    <xf numFmtId="165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28" xfId="50" applyNumberFormat="1" applyFont="1" applyFill="1" applyBorder="1" applyAlignment="1" applyProtection="1">
      <alignment horizontal="center" vertical="center" wrapText="1"/>
    </xf>
    <xf numFmtId="165" fontId="25" fillId="0" borderId="38" xfId="50" applyNumberFormat="1" applyFont="1" applyFill="1" applyBorder="1" applyAlignment="1" applyProtection="1">
      <alignment horizontal="center" vertical="center" wrapText="1"/>
    </xf>
    <xf numFmtId="165" fontId="25" fillId="0" borderId="58" xfId="50" applyNumberFormat="1" applyFont="1" applyFill="1" applyBorder="1" applyAlignment="1" applyProtection="1">
      <alignment horizontal="center" vertical="center" wrapText="1"/>
    </xf>
    <xf numFmtId="0" fontId="25" fillId="0" borderId="55" xfId="50" applyNumberFormat="1" applyFont="1" applyFill="1" applyBorder="1" applyAlignment="1" applyProtection="1">
      <alignment vertical="center" wrapText="1"/>
    </xf>
    <xf numFmtId="0" fontId="27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50" applyNumberFormat="1" applyFont="1" applyFill="1" applyBorder="1" applyAlignment="1" applyProtection="1">
      <alignment horizontal="center" vertical="center" wrapText="1"/>
    </xf>
    <xf numFmtId="165" fontId="25" fillId="0" borderId="75" xfId="50" applyNumberFormat="1" applyFont="1" applyFill="1" applyBorder="1" applyAlignment="1" applyProtection="1">
      <alignment horizontal="center" vertical="center" wrapText="1"/>
    </xf>
    <xf numFmtId="0" fontId="34" fillId="0" borderId="54" xfId="50" applyNumberFormat="1" applyFont="1" applyFill="1" applyBorder="1" applyAlignment="1" applyProtection="1">
      <alignment vertical="center" wrapText="1"/>
    </xf>
    <xf numFmtId="0" fontId="27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40" xfId="50" applyNumberFormat="1" applyFont="1" applyFill="1" applyBorder="1" applyAlignment="1" applyProtection="1">
      <alignment horizontal="center" vertical="center" wrapText="1"/>
    </xf>
    <xf numFmtId="165" fontId="25" fillId="0" borderId="27" xfId="50" applyNumberFormat="1" applyFont="1" applyFill="1" applyBorder="1" applyAlignment="1" applyProtection="1">
      <alignment horizontal="center" vertical="center" wrapText="1"/>
    </xf>
    <xf numFmtId="0" fontId="25" fillId="0" borderId="33" xfId="50" applyNumberFormat="1" applyFont="1" applyFill="1" applyBorder="1" applyAlignment="1" applyProtection="1">
      <alignment vertical="center" wrapText="1"/>
    </xf>
    <xf numFmtId="0" fontId="21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7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50" applyNumberFormat="1" applyFont="1" applyFill="1" applyBorder="1" applyAlignment="1" applyProtection="1">
      <alignment horizontal="center" vertical="center" wrapText="1"/>
    </xf>
    <xf numFmtId="165" fontId="25" fillId="0" borderId="42" xfId="50" applyNumberFormat="1" applyFont="1" applyFill="1" applyBorder="1" applyAlignment="1" applyProtection="1">
      <alignment horizontal="center" vertical="center" wrapText="1"/>
    </xf>
    <xf numFmtId="0" fontId="34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" xfId="51" applyNumberFormat="1" applyFont="1" applyFill="1" applyBorder="1" applyAlignment="1" applyProtection="1">
      <alignment horizontal="center" vertical="center"/>
      <protection locked="0"/>
    </xf>
    <xf numFmtId="3" fontId="34" fillId="0" borderId="2" xfId="50" applyNumberFormat="1" applyFont="1" applyFill="1" applyBorder="1" applyAlignment="1" applyProtection="1">
      <alignment horizontal="center" vertical="center"/>
      <protection locked="0"/>
    </xf>
    <xf numFmtId="3" fontId="33" fillId="0" borderId="20" xfId="50" applyNumberFormat="1" applyFont="1" applyFill="1" applyBorder="1" applyAlignment="1" applyProtection="1">
      <alignment horizontal="center" vertical="center" wrapText="1"/>
    </xf>
    <xf numFmtId="0" fontId="34" fillId="0" borderId="78" xfId="50" applyNumberFormat="1" applyFont="1" applyFill="1" applyBorder="1" applyAlignment="1" applyProtection="1">
      <alignment vertical="center" wrapText="1"/>
    </xf>
    <xf numFmtId="0" fontId="34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67" xfId="50" applyNumberFormat="1" applyFont="1" applyFill="1" applyBorder="1" applyAlignment="1" applyProtection="1">
      <alignment vertical="center" wrapText="1"/>
    </xf>
    <xf numFmtId="0" fontId="34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50" applyNumberFormat="1" applyFont="1" applyFill="1" applyBorder="1" applyAlignment="1" applyProtection="1">
      <alignment vertical="center" wrapText="1"/>
      <protection locked="0"/>
    </xf>
    <xf numFmtId="3" fontId="33" fillId="0" borderId="18" xfId="50" applyNumberFormat="1" applyFont="1" applyFill="1" applyBorder="1" applyAlignment="1" applyProtection="1">
      <alignment horizontal="center" vertical="center" wrapText="1"/>
    </xf>
    <xf numFmtId="0" fontId="21" fillId="7" borderId="68" xfId="50" applyNumberFormat="1" applyFont="1" applyFill="1" applyBorder="1" applyAlignment="1" applyProtection="1">
      <alignment horizontal="left" vertical="center" wrapText="1" indent="2"/>
    </xf>
    <xf numFmtId="170" fontId="22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1" fillId="0" borderId="41" xfId="27" applyNumberFormat="1" applyFont="1" applyBorder="1" applyAlignment="1" applyProtection="1">
      <alignment horizontal="right" vertical="center" wrapText="1" indent="1"/>
    </xf>
    <xf numFmtId="3" fontId="32" fillId="0" borderId="27" xfId="27" applyNumberFormat="1" applyFont="1" applyBorder="1" applyAlignment="1" applyProtection="1">
      <alignment horizontal="right" vertical="center" wrapText="1" indent="1"/>
    </xf>
    <xf numFmtId="0" fontId="34" fillId="0" borderId="6" xfId="0" applyFont="1" applyBorder="1" applyAlignment="1" applyProtection="1">
      <alignment horizontal="left" vertical="center"/>
      <protection locked="0"/>
    </xf>
    <xf numFmtId="3" fontId="34" fillId="0" borderId="2" xfId="25" applyNumberFormat="1" applyFont="1" applyBorder="1" applyAlignment="1">
      <alignment horizontal="right"/>
    </xf>
    <xf numFmtId="3" fontId="34" fillId="0" borderId="2" xfId="26" quotePrefix="1" applyNumberFormat="1" applyFont="1" applyBorder="1" applyAlignment="1">
      <alignment horizontal="right"/>
    </xf>
    <xf numFmtId="3" fontId="34" fillId="0" borderId="2" xfId="26" applyNumberFormat="1" applyFont="1" applyBorder="1" applyAlignment="1">
      <alignment horizontal="right"/>
    </xf>
    <xf numFmtId="3" fontId="25" fillId="0" borderId="21" xfId="26" applyNumberFormat="1" applyFont="1" applyBorder="1" applyAlignment="1">
      <alignment horizontal="right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0" fontId="116" fillId="0" borderId="67" xfId="48" applyNumberFormat="1" applyFont="1" applyFill="1" applyBorder="1" applyAlignment="1" applyProtection="1">
      <alignment vertical="center" wrapText="1"/>
      <protection locked="0"/>
    </xf>
    <xf numFmtId="3" fontId="73" fillId="0" borderId="1" xfId="21" applyNumberFormat="1" applyFont="1" applyFill="1" applyBorder="1" applyAlignment="1" applyProtection="1">
      <alignment horizontal="right"/>
      <protection locked="0"/>
    </xf>
    <xf numFmtId="3" fontId="73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3" fillId="0" borderId="1" xfId="49" applyNumberFormat="1" applyFont="1" applyFill="1" applyBorder="1" applyAlignment="1" applyProtection="1">
      <alignment horizontal="right"/>
      <protection locked="0"/>
    </xf>
    <xf numFmtId="3" fontId="65" fillId="0" borderId="20" xfId="49" applyNumberFormat="1" applyFont="1" applyFill="1" applyBorder="1" applyAlignment="1">
      <alignment horizontal="right"/>
    </xf>
    <xf numFmtId="0" fontId="21" fillId="0" borderId="38" xfId="21" applyFont="1" applyFill="1" applyBorder="1" applyAlignment="1">
      <alignment horizontal="center" vertical="center"/>
    </xf>
    <xf numFmtId="0" fontId="21" fillId="0" borderId="76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4" fillId="0" borderId="18" xfId="26" applyNumberFormat="1" applyFont="1" applyFill="1" applyBorder="1" applyProtection="1">
      <protection locked="0"/>
    </xf>
    <xf numFmtId="165" fontId="7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6" fillId="0" borderId="0" xfId="0" applyNumberFormat="1" applyFont="1" applyFill="1" applyAlignment="1">
      <alignment horizontal="left" vertical="top" wrapText="1"/>
    </xf>
    <xf numFmtId="165" fontId="25" fillId="0" borderId="59" xfId="50" applyNumberFormat="1" applyFont="1" applyFill="1" applyBorder="1" applyAlignment="1" applyProtection="1">
      <alignment horizontal="center" vertical="center" wrapText="1"/>
    </xf>
    <xf numFmtId="3" fontId="35" fillId="0" borderId="38" xfId="19" applyNumberFormat="1" applyFont="1" applyBorder="1"/>
    <xf numFmtId="3" fontId="35" fillId="0" borderId="49" xfId="19" applyNumberFormat="1" applyFont="1" applyBorder="1"/>
    <xf numFmtId="3" fontId="7" fillId="0" borderId="0" xfId="21" applyNumberFormat="1" applyFont="1" applyFill="1" applyAlignment="1">
      <alignment horizontal="right" indent="1"/>
    </xf>
    <xf numFmtId="0" fontId="7" fillId="0" borderId="0" xfId="21" applyFont="1" applyFill="1" applyProtection="1"/>
    <xf numFmtId="3" fontId="7" fillId="0" borderId="2" xfId="21" applyNumberFormat="1" applyFont="1" applyFill="1" applyBorder="1" applyAlignment="1" applyProtection="1">
      <alignment horizontal="right"/>
      <protection locked="0"/>
    </xf>
    <xf numFmtId="3" fontId="7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7" fillId="0" borderId="2" xfId="49" applyNumberFormat="1" applyFont="1" applyFill="1" applyBorder="1" applyAlignment="1" applyProtection="1">
      <alignment horizontal="right"/>
      <protection locked="0"/>
    </xf>
    <xf numFmtId="0" fontId="34" fillId="0" borderId="2" xfId="48" applyNumberFormat="1" applyFont="1" applyFill="1" applyBorder="1" applyAlignment="1" applyProtection="1">
      <alignment vertical="center" wrapText="1"/>
      <protection locked="0"/>
    </xf>
    <xf numFmtId="3" fontId="36" fillId="0" borderId="18" xfId="49" applyNumberFormat="1" applyFont="1" applyFill="1" applyBorder="1" applyAlignment="1">
      <alignment horizontal="right"/>
    </xf>
    <xf numFmtId="165" fontId="7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30" xfId="20" applyFont="1" applyBorder="1" applyAlignment="1">
      <alignment horizontal="left"/>
    </xf>
    <xf numFmtId="165" fontId="6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31" xfId="20" quotePrefix="1" applyFont="1" applyBorder="1" applyAlignment="1">
      <alignment horizontal="left"/>
    </xf>
    <xf numFmtId="0" fontId="73" fillId="0" borderId="32" xfId="20" applyFont="1" applyBorder="1"/>
    <xf numFmtId="0" fontId="73" fillId="0" borderId="72" xfId="20" quotePrefix="1" applyFont="1" applyBorder="1" applyAlignment="1">
      <alignment horizontal="left"/>
    </xf>
    <xf numFmtId="0" fontId="73" fillId="0" borderId="36" xfId="20" applyFont="1" applyBorder="1"/>
    <xf numFmtId="3" fontId="72" fillId="0" borderId="3" xfId="19" applyNumberFormat="1" applyFont="1" applyBorder="1"/>
    <xf numFmtId="0" fontId="0" fillId="0" borderId="76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3" fontId="72" fillId="0" borderId="78" xfId="19" applyNumberFormat="1" applyFont="1" applyBorder="1"/>
    <xf numFmtId="3" fontId="80" fillId="0" borderId="38" xfId="19" applyNumberFormat="1" applyFont="1" applyBorder="1"/>
    <xf numFmtId="3" fontId="80" fillId="0" borderId="58" xfId="19" applyNumberFormat="1" applyFont="1" applyBorder="1"/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3" fontId="26" fillId="0" borderId="58" xfId="19" applyNumberFormat="1" applyFont="1" applyBorder="1"/>
    <xf numFmtId="165" fontId="33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37" fillId="0" borderId="24" xfId="0" applyFont="1" applyFill="1" applyBorder="1" applyAlignment="1" applyProtection="1">
      <alignment horizontal="right"/>
    </xf>
    <xf numFmtId="0" fontId="74" fillId="0" borderId="0" xfId="0" applyFont="1" applyFill="1" applyAlignment="1" applyProtection="1">
      <alignment horizontal="right" vertical="top"/>
    </xf>
    <xf numFmtId="0" fontId="32" fillId="0" borderId="13" xfId="0" applyFont="1" applyFill="1" applyBorder="1" applyAlignment="1" applyProtection="1">
      <alignment horizontal="center" vertical="center" wrapText="1"/>
    </xf>
    <xf numFmtId="0" fontId="42" fillId="0" borderId="33" xfId="0" applyFont="1" applyFill="1" applyBorder="1" applyAlignment="1" applyProtection="1">
      <alignment horizontal="left" wrapText="1" indent="1"/>
    </xf>
    <xf numFmtId="0" fontId="43" fillId="0" borderId="0" xfId="0" applyFont="1" applyFill="1" applyAlignment="1" applyProtection="1">
      <alignment horizontal="right" vertical="top"/>
    </xf>
    <xf numFmtId="167" fontId="68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70" fontId="120" fillId="0" borderId="19" xfId="53" applyNumberFormat="1" applyFont="1" applyFill="1" applyBorder="1" applyAlignment="1">
      <alignment horizontal="right" vertical="center"/>
    </xf>
    <xf numFmtId="170" fontId="119" fillId="0" borderId="20" xfId="18" applyNumberFormat="1" applyFont="1" applyFill="1" applyBorder="1" applyAlignment="1">
      <alignment horizontal="right" vertical="center"/>
    </xf>
    <xf numFmtId="170" fontId="119" fillId="0" borderId="23" xfId="18" applyNumberFormat="1" applyFont="1" applyFill="1" applyBorder="1" applyAlignment="1">
      <alignment horizontal="right" vertical="center"/>
    </xf>
    <xf numFmtId="170" fontId="119" fillId="0" borderId="17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170" fontId="119" fillId="0" borderId="26" xfId="18" applyNumberFormat="1" applyFont="1" applyFill="1" applyBorder="1" applyAlignment="1">
      <alignment horizontal="right"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70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70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8" fillId="0" borderId="0" xfId="18" quotePrefix="1" applyNumberFormat="1"/>
    <xf numFmtId="0" fontId="48" fillId="0" borderId="0" xfId="18" quotePrefix="1"/>
    <xf numFmtId="0" fontId="121" fillId="11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1" borderId="79" xfId="0" applyFont="1" applyFill="1" applyBorder="1" applyAlignment="1">
      <alignment vertical="center" wrapText="1"/>
    </xf>
    <xf numFmtId="0" fontId="119" fillId="11" borderId="81" xfId="0" applyFont="1" applyFill="1" applyBorder="1" applyAlignment="1">
      <alignment vertical="center" wrapText="1"/>
    </xf>
    <xf numFmtId="0" fontId="119" fillId="11" borderId="80" xfId="0" applyFont="1" applyFill="1" applyBorder="1" applyAlignment="1">
      <alignment vertical="center" wrapText="1"/>
    </xf>
    <xf numFmtId="0" fontId="119" fillId="11" borderId="82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1" borderId="80" xfId="0" quotePrefix="1" applyNumberFormat="1" applyFont="1" applyFill="1" applyBorder="1" applyAlignment="1">
      <alignment vertical="center" wrapText="1"/>
    </xf>
    <xf numFmtId="0" fontId="118" fillId="11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1" borderId="4" xfId="0" applyFont="1" applyFill="1" applyBorder="1" applyAlignment="1">
      <alignment vertical="center" wrapText="1"/>
    </xf>
    <xf numFmtId="0" fontId="119" fillId="0" borderId="21" xfId="18" quotePrefix="1" applyFont="1" applyBorder="1" applyAlignment="1">
      <alignment vertical="center"/>
    </xf>
    <xf numFmtId="0" fontId="119" fillId="11" borderId="0" xfId="0" applyFont="1" applyFill="1" applyBorder="1" applyAlignment="1">
      <alignment horizontal="left" vertical="center" wrapText="1"/>
    </xf>
    <xf numFmtId="0" fontId="118" fillId="11" borderId="83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70" fontId="119" fillId="0" borderId="18" xfId="53" applyNumberFormat="1" applyFont="1" applyFill="1" applyBorder="1" applyAlignment="1">
      <alignment horizontal="right" vertical="center"/>
    </xf>
    <xf numFmtId="170" fontId="119" fillId="0" borderId="26" xfId="53" applyNumberFormat="1" applyFont="1" applyFill="1" applyBorder="1" applyAlignment="1">
      <alignment horizontal="right" vertical="center"/>
    </xf>
    <xf numFmtId="170" fontId="120" fillId="0" borderId="19" xfId="53" applyNumberFormat="1" applyFont="1" applyFill="1" applyBorder="1" applyAlignment="1">
      <alignment horizontal="right" vertical="center" wrapText="1"/>
    </xf>
    <xf numFmtId="170" fontId="119" fillId="0" borderId="22" xfId="18" applyNumberFormat="1" applyFont="1" applyFill="1" applyBorder="1" applyAlignment="1">
      <alignment horizontal="right" vertical="center"/>
    </xf>
    <xf numFmtId="170" fontId="119" fillId="0" borderId="23" xfId="53" applyNumberFormat="1" applyFont="1" applyFill="1" applyBorder="1" applyAlignment="1">
      <alignment horizontal="right" vertical="center"/>
    </xf>
    <xf numFmtId="170" fontId="119" fillId="0" borderId="17" xfId="53" applyNumberFormat="1" applyFont="1" applyFill="1" applyBorder="1" applyAlignment="1">
      <alignment horizontal="right" vertical="center"/>
    </xf>
    <xf numFmtId="170" fontId="118" fillId="0" borderId="19" xfId="18" applyNumberFormat="1" applyFont="1" applyFill="1" applyBorder="1" applyAlignment="1">
      <alignment horizontal="right" vertical="center"/>
    </xf>
    <xf numFmtId="170" fontId="112" fillId="0" borderId="0" xfId="18" applyNumberFormat="1" applyFont="1" applyFill="1" applyAlignment="1">
      <alignment horizontal="right"/>
    </xf>
    <xf numFmtId="0" fontId="37" fillId="0" borderId="24" xfId="0" applyFont="1" applyFill="1" applyBorder="1" applyAlignment="1" applyProtection="1">
      <alignment horizontal="right" vertical="center"/>
    </xf>
    <xf numFmtId="0" fontId="33" fillId="0" borderId="28" xfId="21" applyFont="1" applyFill="1" applyBorder="1" applyAlignment="1" applyProtection="1">
      <alignment horizontal="center"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9" fillId="0" borderId="0" xfId="21" applyNumberFormat="1" applyFont="1" applyFill="1" applyBorder="1" applyAlignment="1" applyProtection="1">
      <alignment horizontal="right" vertical="center" wrapText="1" indent="1"/>
    </xf>
    <xf numFmtId="165" fontId="33" fillId="0" borderId="19" xfId="21" applyNumberFormat="1" applyFont="1" applyFill="1" applyBorder="1" applyAlignment="1" applyProtection="1">
      <alignment horizontal="center" vertical="center" wrapText="1"/>
    </xf>
    <xf numFmtId="165" fontId="68" fillId="0" borderId="76" xfId="28" applyNumberFormat="1" applyFont="1" applyFill="1" applyBorder="1" applyAlignment="1" applyProtection="1">
      <alignment horizontal="left"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8" fillId="0" borderId="18" xfId="0" applyNumberFormat="1" applyFont="1" applyFill="1" applyBorder="1" applyAlignment="1">
      <alignment vertical="center" wrapText="1"/>
    </xf>
    <xf numFmtId="165" fontId="68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23" xfId="0" applyNumberFormat="1" applyFont="1" applyFill="1" applyBorder="1" applyAlignment="1">
      <alignment vertical="center" wrapText="1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5" fillId="0" borderId="34" xfId="0" applyNumberFormat="1" applyFont="1" applyFill="1" applyBorder="1" applyAlignment="1" applyProtection="1">
      <alignment horizontal="center" vertical="center" wrapText="1"/>
    </xf>
    <xf numFmtId="165" fontId="71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7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7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7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0" fontId="100" fillId="0" borderId="41" xfId="28" applyFont="1" applyFill="1" applyBorder="1" applyAlignment="1">
      <alignment vertical="center"/>
    </xf>
    <xf numFmtId="165" fontId="77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7" fillId="0" borderId="23" xfId="0" applyNumberFormat="1" applyFont="1" applyFill="1" applyBorder="1" applyAlignment="1" applyProtection="1">
      <alignment vertical="center" wrapText="1"/>
    </xf>
    <xf numFmtId="0" fontId="110" fillId="0" borderId="65" xfId="0" applyFont="1" applyFill="1" applyBorder="1"/>
    <xf numFmtId="0" fontId="87" fillId="0" borderId="34" xfId="28" applyFont="1" applyFill="1" applyBorder="1" applyAlignment="1">
      <alignment vertical="center"/>
    </xf>
    <xf numFmtId="165" fontId="36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1" fillId="0" borderId="19" xfId="0" applyNumberFormat="1" applyFont="1" applyFill="1" applyBorder="1" applyAlignment="1" applyProtection="1">
      <alignment vertical="center" wrapText="1"/>
    </xf>
    <xf numFmtId="0" fontId="110" fillId="0" borderId="59" xfId="28" applyFont="1" applyFill="1" applyBorder="1" applyAlignment="1">
      <alignment vertical="center" wrapText="1"/>
    </xf>
    <xf numFmtId="0" fontId="41" fillId="0" borderId="55" xfId="21" applyFont="1" applyFill="1" applyBorder="1" applyProtection="1"/>
    <xf numFmtId="166" fontId="34" fillId="0" borderId="32" xfId="26" applyNumberFormat="1" applyFont="1" applyFill="1" applyBorder="1" applyProtection="1">
      <protection locked="0"/>
    </xf>
    <xf numFmtId="3" fontId="27" fillId="0" borderId="32" xfId="21" applyNumberFormat="1" applyFont="1" applyFill="1" applyBorder="1" applyAlignment="1" applyProtection="1">
      <alignment horizontal="right" vertical="center" wrapText="1"/>
    </xf>
    <xf numFmtId="3" fontId="27" fillId="0" borderId="42" xfId="27" applyNumberFormat="1" applyFont="1" applyFill="1" applyBorder="1" applyAlignment="1" applyProtection="1">
      <alignment horizontal="right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25" fillId="0" borderId="44" xfId="21" applyNumberFormat="1" applyFont="1" applyFill="1" applyBorder="1" applyAlignment="1" applyProtection="1">
      <alignment horizontal="right" vertical="center" wrapText="1"/>
    </xf>
    <xf numFmtId="3" fontId="34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27" xfId="21" applyNumberFormat="1" applyFont="1" applyFill="1" applyBorder="1" applyAlignment="1" applyProtection="1">
      <alignment horizontal="right" vertical="center" wrapText="1"/>
    </xf>
    <xf numFmtId="3" fontId="34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4" fillId="0" borderId="14" xfId="21" applyNumberFormat="1" applyFont="1" applyFill="1" applyBorder="1" applyAlignment="1" applyProtection="1">
      <alignment horizontal="center" vertical="center" wrapText="1"/>
    </xf>
    <xf numFmtId="3" fontId="34" fillId="0" borderId="50" xfId="21" applyNumberFormat="1" applyFont="1" applyFill="1" applyBorder="1" applyAlignment="1" applyProtection="1">
      <alignment horizontal="right" vertical="center" wrapText="1"/>
    </xf>
    <xf numFmtId="3" fontId="34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19" xfId="21" applyNumberFormat="1" applyFont="1" applyFill="1" applyBorder="1" applyAlignment="1" applyProtection="1">
      <alignment horizontal="right" vertical="center" wrapText="1"/>
    </xf>
    <xf numFmtId="3" fontId="27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50" xfId="21" applyNumberFormat="1" applyFont="1" applyFill="1" applyBorder="1" applyAlignment="1" applyProtection="1">
      <alignment horizontal="right" vertical="center" wrapText="1"/>
    </xf>
    <xf numFmtId="3" fontId="27" fillId="0" borderId="36" xfId="21" applyNumberFormat="1" applyFont="1" applyFill="1" applyBorder="1" applyAlignment="1" applyProtection="1">
      <alignment horizontal="right" vertical="center" wrapText="1"/>
    </xf>
    <xf numFmtId="3" fontId="25" fillId="0" borderId="52" xfId="21" applyNumberFormat="1" applyFont="1" applyFill="1" applyBorder="1" applyAlignment="1" applyProtection="1">
      <alignment horizontal="right" vertical="center" wrapText="1"/>
    </xf>
    <xf numFmtId="3" fontId="33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28" xfId="21" applyNumberFormat="1" applyFont="1" applyFill="1" applyBorder="1" applyAlignment="1" applyProtection="1">
      <alignment horizontal="right" vertical="center" wrapText="1"/>
    </xf>
    <xf numFmtId="3" fontId="34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14" fillId="0" borderId="68" xfId="21" applyNumberFormat="1" applyFont="1" applyFill="1" applyBorder="1" applyAlignment="1" applyProtection="1">
      <alignment horizontal="center" vertical="center" wrapText="1"/>
    </xf>
    <xf numFmtId="3" fontId="34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4" fillId="0" borderId="19" xfId="21" applyNumberFormat="1" applyFont="1" applyFill="1" applyBorder="1" applyAlignment="1" applyProtection="1">
      <alignment horizontal="center" vertical="center" wrapText="1"/>
    </xf>
    <xf numFmtId="3" fontId="34" fillId="0" borderId="32" xfId="21" applyNumberFormat="1" applyFont="1" applyFill="1" applyBorder="1" applyAlignment="1" applyProtection="1">
      <alignment horizontal="right" vertical="center" wrapText="1"/>
    </xf>
    <xf numFmtId="165" fontId="25" fillId="0" borderId="19" xfId="21" applyNumberFormat="1" applyFont="1" applyFill="1" applyBorder="1" applyAlignment="1" applyProtection="1">
      <alignment horizontal="right" vertical="center" wrapText="1"/>
    </xf>
    <xf numFmtId="3" fontId="34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0" fontId="7" fillId="0" borderId="48" xfId="20" applyFont="1" applyBorder="1"/>
    <xf numFmtId="165" fontId="33" fillId="0" borderId="27" xfId="21" applyNumberFormat="1" applyFont="1" applyFill="1" applyBorder="1" applyAlignment="1" applyProtection="1">
      <alignment horizontal="right" vertical="center" wrapText="1"/>
    </xf>
    <xf numFmtId="3" fontId="34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4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26" xfId="21" applyNumberFormat="1" applyFont="1" applyFill="1" applyBorder="1" applyAlignment="1" applyProtection="1">
      <alignment horizontal="right" vertical="center" wrapText="1"/>
    </xf>
    <xf numFmtId="0" fontId="7" fillId="0" borderId="0" xfId="20" quotePrefix="1" applyFont="1" applyBorder="1" applyAlignment="1">
      <alignment horizontal="left"/>
    </xf>
    <xf numFmtId="3" fontId="34" fillId="0" borderId="36" xfId="21" applyNumberFormat="1" applyFont="1" applyFill="1" applyBorder="1" applyAlignment="1" applyProtection="1">
      <alignment horizontal="right" vertical="center" wrapText="1"/>
    </xf>
    <xf numFmtId="3" fontId="34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/>
    </xf>
    <xf numFmtId="165" fontId="33" fillId="0" borderId="40" xfId="21" applyNumberFormat="1" applyFont="1" applyFill="1" applyBorder="1" applyAlignment="1" applyProtection="1">
      <alignment horizontal="right" vertical="center" wrapText="1"/>
    </xf>
    <xf numFmtId="3" fontId="33" fillId="0" borderId="27" xfId="21" applyNumberFormat="1" applyFont="1" applyFill="1" applyBorder="1" applyAlignment="1" applyProtection="1">
      <alignment horizontal="right" vertical="center" wrapText="1"/>
    </xf>
    <xf numFmtId="3" fontId="27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2" fillId="0" borderId="44" xfId="0" applyNumberFormat="1" applyFont="1" applyBorder="1" applyAlignment="1" applyProtection="1">
      <alignment horizontal="right" vertical="center" wrapText="1"/>
    </xf>
    <xf numFmtId="3" fontId="32" fillId="0" borderId="19" xfId="0" applyNumberFormat="1" applyFont="1" applyBorder="1" applyAlignment="1" applyProtection="1">
      <alignment horizontal="right" vertical="center" wrapText="1"/>
    </xf>
    <xf numFmtId="3" fontId="32" fillId="0" borderId="19" xfId="0" applyNumberFormat="1" applyFont="1" applyBorder="1" applyAlignment="1" applyProtection="1">
      <alignment horizontal="right" vertical="center" wrapText="1"/>
      <protection locked="0"/>
    </xf>
    <xf numFmtId="3" fontId="30" fillId="0" borderId="44" xfId="0" quotePrefix="1" applyNumberFormat="1" applyFont="1" applyBorder="1" applyAlignment="1" applyProtection="1">
      <alignment horizontal="right" vertical="center" wrapText="1"/>
    </xf>
    <xf numFmtId="3" fontId="30" fillId="0" borderId="19" xfId="0" quotePrefix="1" applyNumberFormat="1" applyFont="1" applyBorder="1" applyAlignment="1" applyProtection="1">
      <alignment horizontal="right" vertical="center" wrapText="1"/>
    </xf>
    <xf numFmtId="3" fontId="25" fillId="0" borderId="35" xfId="21" applyNumberFormat="1" applyFont="1" applyFill="1" applyBorder="1" applyAlignment="1" applyProtection="1">
      <alignment horizontal="right" vertical="center" wrapText="1" indent="1"/>
    </xf>
    <xf numFmtId="3" fontId="34" fillId="0" borderId="57" xfId="21" applyNumberFormat="1" applyFont="1" applyFill="1" applyBorder="1" applyAlignment="1" applyProtection="1">
      <alignment horizontal="right" vertical="center" wrapText="1" indent="1"/>
    </xf>
    <xf numFmtId="3" fontId="34" fillId="0" borderId="36" xfId="21" applyNumberFormat="1" applyFont="1" applyFill="1" applyBorder="1" applyAlignment="1" applyProtection="1">
      <alignment horizontal="right" vertical="center" wrapText="1" indent="1"/>
    </xf>
    <xf numFmtId="3" fontId="34" fillId="0" borderId="53" xfId="21" applyNumberFormat="1" applyFont="1" applyFill="1" applyBorder="1" applyAlignment="1" applyProtection="1">
      <alignment horizontal="right" vertical="center" wrapText="1" indent="1"/>
    </xf>
    <xf numFmtId="3" fontId="32" fillId="0" borderId="44" xfId="27" applyNumberFormat="1" applyFont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</xf>
    <xf numFmtId="3" fontId="31" fillId="0" borderId="50" xfId="27" applyNumberFormat="1" applyFont="1" applyBorder="1" applyAlignment="1" applyProtection="1">
      <alignment horizontal="right" vertical="center" wrapText="1" indent="1"/>
    </xf>
    <xf numFmtId="3" fontId="25" fillId="0" borderId="57" xfId="21" applyNumberFormat="1" applyFont="1" applyFill="1" applyBorder="1" applyAlignment="1" applyProtection="1">
      <alignment horizontal="right" vertical="center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</xf>
    <xf numFmtId="3" fontId="25" fillId="0" borderId="53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58" xfId="21" applyNumberFormat="1" applyFont="1" applyFill="1" applyBorder="1" applyAlignment="1" applyProtection="1">
      <alignment horizontal="right" vertical="center" wrapText="1" indent="1"/>
    </xf>
    <xf numFmtId="3" fontId="34" fillId="0" borderId="42" xfId="21" applyNumberFormat="1" applyFont="1" applyFill="1" applyBorder="1" applyAlignment="1" applyProtection="1">
      <alignment horizontal="right" vertical="center" wrapText="1" indent="1"/>
    </xf>
    <xf numFmtId="3" fontId="34" fillId="0" borderId="75" xfId="21" applyNumberFormat="1" applyFont="1" applyFill="1" applyBorder="1" applyAlignment="1" applyProtection="1">
      <alignment horizontal="right" vertical="center" wrapText="1" indent="1"/>
    </xf>
    <xf numFmtId="3" fontId="25" fillId="0" borderId="42" xfId="21" applyNumberFormat="1" applyFont="1" applyFill="1" applyBorder="1" applyAlignment="1" applyProtection="1">
      <alignment horizontal="right" vertical="center" wrapText="1" indent="1"/>
    </xf>
    <xf numFmtId="3" fontId="25" fillId="0" borderId="58" xfId="21" applyNumberFormat="1" applyFont="1" applyFill="1" applyBorder="1" applyAlignment="1" applyProtection="1">
      <alignment horizontal="right" vertical="center" wrapText="1" indent="1"/>
    </xf>
    <xf numFmtId="3" fontId="25" fillId="0" borderId="41" xfId="21" applyNumberFormat="1" applyFont="1" applyFill="1" applyBorder="1" applyAlignment="1" applyProtection="1">
      <alignment horizontal="right" vertical="center" wrapText="1" indent="1"/>
    </xf>
    <xf numFmtId="3" fontId="25" fillId="0" borderId="75" xfId="21" applyNumberFormat="1" applyFont="1" applyFill="1" applyBorder="1" applyAlignment="1" applyProtection="1">
      <alignment horizontal="right" vertical="center" wrapText="1" indent="1"/>
    </xf>
    <xf numFmtId="3" fontId="34" fillId="0" borderId="58" xfId="21" applyNumberFormat="1" applyFont="1" applyFill="1" applyBorder="1" applyAlignment="1" applyProtection="1">
      <alignment horizontal="right" vertical="center" wrapText="1"/>
    </xf>
    <xf numFmtId="3" fontId="34" fillId="0" borderId="42" xfId="21" applyNumberFormat="1" applyFont="1" applyFill="1" applyBorder="1" applyAlignment="1" applyProtection="1">
      <alignment horizontal="right" vertical="center" wrapText="1"/>
    </xf>
    <xf numFmtId="3" fontId="34" fillId="0" borderId="56" xfId="21" applyNumberFormat="1" applyFont="1" applyFill="1" applyBorder="1" applyAlignment="1" applyProtection="1">
      <alignment horizontal="right" vertical="center" wrapText="1"/>
    </xf>
    <xf numFmtId="3" fontId="34" fillId="0" borderId="41" xfId="21" applyNumberFormat="1" applyFont="1" applyFill="1" applyBorder="1" applyAlignment="1" applyProtection="1">
      <alignment horizontal="right" vertical="center" wrapText="1"/>
    </xf>
    <xf numFmtId="3" fontId="27" fillId="0" borderId="41" xfId="21" applyNumberFormat="1" applyFont="1" applyFill="1" applyBorder="1" applyAlignment="1" applyProtection="1">
      <alignment horizontal="right" vertical="center" wrapText="1"/>
    </xf>
    <xf numFmtId="3" fontId="27" fillId="0" borderId="42" xfId="21" applyNumberFormat="1" applyFont="1" applyFill="1" applyBorder="1" applyAlignment="1" applyProtection="1">
      <alignment horizontal="right" vertical="center" wrapText="1"/>
    </xf>
    <xf numFmtId="3" fontId="27" fillId="0" borderId="56" xfId="21" applyNumberFormat="1" applyFont="1" applyFill="1" applyBorder="1" applyAlignment="1" applyProtection="1">
      <alignment horizontal="right" vertical="center" wrapText="1"/>
    </xf>
    <xf numFmtId="165" fontId="34" fillId="0" borderId="5" xfId="50" applyNumberFormat="1" applyFont="1" applyFill="1" applyBorder="1" applyAlignment="1" applyProtection="1">
      <alignment vertical="center" wrapText="1"/>
    </xf>
    <xf numFmtId="3" fontId="34" fillId="0" borderId="40" xfId="0" applyNumberFormat="1" applyFont="1" applyFill="1" applyBorder="1" applyAlignment="1" applyProtection="1">
      <alignment horizontal="right" vertical="center" indent="1"/>
      <protection locked="0"/>
    </xf>
    <xf numFmtId="3" fontId="35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3" fontId="41" fillId="0" borderId="46" xfId="19" applyNumberFormat="1" applyFont="1" applyBorder="1"/>
    <xf numFmtId="3" fontId="41" fillId="0" borderId="76" xfId="19" applyNumberFormat="1" applyFont="1" applyBorder="1"/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3" fontId="41" fillId="0" borderId="77" xfId="19" applyNumberFormat="1" applyFont="1" applyBorder="1"/>
    <xf numFmtId="3" fontId="41" fillId="0" borderId="25" xfId="19" applyNumberFormat="1" applyFont="1" applyBorder="1"/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9" xfId="0" quotePrefix="1" applyNumberFormat="1" applyFont="1" applyFill="1" applyBorder="1" applyAlignment="1" applyProtection="1">
      <alignment horizontal="right" vertical="center" wrapText="1" indent="1"/>
    </xf>
    <xf numFmtId="0" fontId="100" fillId="0" borderId="42" xfId="0" quotePrefix="1" applyFont="1" applyFill="1" applyBorder="1" applyAlignment="1">
      <alignment vertical="center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10" fillId="0" borderId="42" xfId="0" applyFont="1" applyFill="1" applyBorder="1" applyAlignment="1">
      <alignment vertical="center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0" fillId="0" borderId="42" xfId="0" applyFont="1" applyFill="1" applyBorder="1" applyAlignment="1">
      <alignment vertical="center"/>
    </xf>
    <xf numFmtId="0" fontId="100" fillId="0" borderId="41" xfId="0" applyFont="1" applyFill="1" applyBorder="1" applyAlignment="1">
      <alignment vertical="center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00" fillId="0" borderId="30" xfId="0" quotePrefix="1" applyFont="1" applyFill="1" applyBorder="1" applyAlignment="1">
      <alignment vertical="center"/>
    </xf>
    <xf numFmtId="165" fontId="100" fillId="0" borderId="10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3" xfId="0" applyNumberFormat="1" applyFont="1" applyFill="1" applyBorder="1" applyAlignment="1" applyProtection="1">
      <alignment vertical="center" wrapText="1"/>
    </xf>
    <xf numFmtId="165" fontId="10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99" fillId="0" borderId="27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114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20" xfId="0" applyNumberFormat="1" applyFont="1" applyFill="1" applyBorder="1" applyAlignment="1" applyProtection="1">
      <alignment vertical="center" wrapText="1"/>
    </xf>
    <xf numFmtId="49" fontId="79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99" fillId="0" borderId="27" xfId="0" applyFont="1" applyFill="1" applyBorder="1" applyAlignment="1">
      <alignment vertical="center"/>
    </xf>
    <xf numFmtId="165" fontId="114" fillId="0" borderId="18" xfId="0" applyNumberFormat="1" applyFont="1" applyFill="1" applyBorder="1" applyAlignment="1" applyProtection="1">
      <alignment vertical="center" wrapText="1"/>
    </xf>
    <xf numFmtId="0" fontId="99" fillId="0" borderId="27" xfId="0" applyFont="1" applyFill="1" applyBorder="1" applyAlignment="1">
      <alignment vertical="center" wrapText="1"/>
    </xf>
    <xf numFmtId="0" fontId="87" fillId="0" borderId="27" xfId="21" applyFont="1" applyFill="1" applyBorder="1" applyAlignment="1" applyProtection="1">
      <alignment vertical="center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18" xfId="0" applyNumberFormat="1" applyFont="1" applyFill="1" applyBorder="1" applyAlignment="1" applyProtection="1">
      <alignment vertical="center" wrapText="1"/>
    </xf>
    <xf numFmtId="165" fontId="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7" fillId="0" borderId="2" xfId="28" applyNumberFormat="1" applyFont="1" applyFill="1" applyBorder="1" applyAlignment="1" applyProtection="1">
      <alignment vertical="center" wrapText="1"/>
      <protection locked="0"/>
    </xf>
    <xf numFmtId="165" fontId="65" fillId="0" borderId="18" xfId="0" applyNumberFormat="1" applyFont="1" applyFill="1" applyBorder="1" applyAlignment="1" applyProtection="1">
      <alignment vertical="center" wrapText="1"/>
    </xf>
    <xf numFmtId="165" fontId="7" fillId="0" borderId="2" xfId="0" applyNumberFormat="1" applyFont="1" applyFill="1" applyBorder="1" applyAlignment="1" applyProtection="1">
      <alignment vertical="center" wrapText="1"/>
      <protection locked="0"/>
    </xf>
    <xf numFmtId="165" fontId="7" fillId="0" borderId="18" xfId="0" applyNumberFormat="1" applyFont="1" applyFill="1" applyBorder="1" applyAlignment="1">
      <alignment vertical="center" wrapText="1"/>
    </xf>
    <xf numFmtId="165" fontId="68" fillId="0" borderId="2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165" fontId="7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8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Fill="1" applyBorder="1" applyAlignment="1">
      <alignment horizontal="right"/>
    </xf>
    <xf numFmtId="3" fontId="66" fillId="0" borderId="2" xfId="26" quotePrefix="1" applyNumberFormat="1" applyFont="1" applyFill="1" applyBorder="1" applyAlignment="1">
      <alignment horizontal="right"/>
    </xf>
    <xf numFmtId="3" fontId="66" fillId="9" borderId="2" xfId="26" applyNumberFormat="1" applyFont="1" applyFill="1" applyBorder="1" applyAlignment="1">
      <alignment horizontal="right"/>
    </xf>
    <xf numFmtId="3" fontId="33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1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4" fillId="0" borderId="18" xfId="26" applyNumberFormat="1" applyFont="1" applyFill="1" applyBorder="1" applyProtection="1">
      <protection locked="0"/>
    </xf>
    <xf numFmtId="2" fontId="32" fillId="0" borderId="27" xfId="25" applyNumberFormat="1" applyFont="1" applyBorder="1"/>
    <xf numFmtId="0" fontId="36" fillId="0" borderId="27" xfId="25" applyFont="1" applyBorder="1"/>
    <xf numFmtId="0" fontId="33" fillId="0" borderId="46" xfId="25" applyFont="1" applyBorder="1"/>
    <xf numFmtId="2" fontId="32" fillId="0" borderId="27" xfId="25" applyNumberFormat="1" applyFont="1" applyFill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6" fillId="0" borderId="6" xfId="21" applyFont="1" applyFill="1" applyBorder="1" applyAlignment="1">
      <alignment horizontal="center" vertical="center" wrapText="1"/>
    </xf>
    <xf numFmtId="0" fontId="34" fillId="0" borderId="8" xfId="48" applyNumberFormat="1" applyFont="1" applyFill="1" applyBorder="1" applyAlignment="1" applyProtection="1">
      <alignment vertical="center" wrapText="1"/>
      <protection locked="0"/>
    </xf>
    <xf numFmtId="0" fontId="106" fillId="0" borderId="0" xfId="0" applyFont="1" applyAlignment="1">
      <alignment horizontal="center"/>
    </xf>
    <xf numFmtId="0" fontId="29" fillId="10" borderId="0" xfId="0" applyFont="1" applyFill="1" applyAlignment="1" applyProtection="1">
      <alignment horizontal="center"/>
      <protection locked="0"/>
    </xf>
    <xf numFmtId="0" fontId="39" fillId="10" borderId="0" xfId="0" applyFont="1" applyFill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29" fillId="0" borderId="0" xfId="21" applyFont="1" applyFill="1" applyAlignment="1" applyProtection="1">
      <alignment horizontal="center"/>
    </xf>
    <xf numFmtId="0" fontId="7" fillId="0" borderId="0" xfId="21" applyFont="1" applyFill="1" applyAlignment="1" applyProtection="1">
      <alignment horizontal="right"/>
    </xf>
    <xf numFmtId="165" fontId="40" fillId="0" borderId="24" xfId="21" applyNumberFormat="1" applyFont="1" applyFill="1" applyBorder="1" applyAlignment="1" applyProtection="1">
      <alignment horizontal="left" vertical="center"/>
    </xf>
    <xf numFmtId="165" fontId="13" fillId="0" borderId="0" xfId="21" applyNumberFormat="1" applyFont="1" applyFill="1" applyBorder="1" applyAlignment="1" applyProtection="1">
      <alignment horizontal="center" vertical="center"/>
    </xf>
    <xf numFmtId="165" fontId="40" fillId="0" borderId="24" xfId="21" applyNumberFormat="1" applyFont="1" applyFill="1" applyBorder="1" applyAlignment="1" applyProtection="1">
      <alignment horizontal="left"/>
    </xf>
    <xf numFmtId="165" fontId="35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5" fillId="0" borderId="61" xfId="0" applyNumberFormat="1" applyFont="1" applyFill="1" applyBorder="1" applyAlignment="1" applyProtection="1">
      <alignment horizontal="center" vertical="center" wrapText="1"/>
    </xf>
    <xf numFmtId="165" fontId="35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9" fillId="0" borderId="24" xfId="0" applyNumberFormat="1" applyFont="1" applyFill="1" applyBorder="1" applyAlignment="1" applyProtection="1">
      <alignment horizontal="center" vertical="center" wrapText="1"/>
    </xf>
    <xf numFmtId="165" fontId="35" fillId="0" borderId="58" xfId="0" applyNumberFormat="1" applyFont="1" applyFill="1" applyBorder="1" applyAlignment="1" applyProtection="1">
      <alignment horizontal="center" vertical="center" wrapText="1"/>
    </xf>
    <xf numFmtId="165" fontId="35" fillId="0" borderId="75" xfId="0" applyNumberFormat="1" applyFont="1" applyFill="1" applyBorder="1" applyAlignment="1" applyProtection="1">
      <alignment horizontal="center" vertical="center" wrapText="1"/>
    </xf>
    <xf numFmtId="165" fontId="13" fillId="0" borderId="24" xfId="0" applyNumberFormat="1" applyFont="1" applyFill="1" applyBorder="1" applyAlignment="1" applyProtection="1">
      <alignment horizontal="center" vertical="center" wrapText="1"/>
    </xf>
    <xf numFmtId="0" fontId="21" fillId="0" borderId="0" xfId="21" applyFont="1" applyFill="1" applyAlignment="1">
      <alignment horizontal="right"/>
    </xf>
    <xf numFmtId="165" fontId="11" fillId="0" borderId="0" xfId="21" applyNumberFormat="1" applyFont="1" applyFill="1" applyBorder="1" applyAlignment="1" applyProtection="1">
      <alignment horizontal="center" vertical="center" wrapText="1"/>
    </xf>
    <xf numFmtId="0" fontId="17" fillId="0" borderId="0" xfId="48" applyFont="1" applyFill="1" applyBorder="1" applyAlignment="1" applyProtection="1">
      <alignment horizontal="right"/>
    </xf>
    <xf numFmtId="0" fontId="26" fillId="0" borderId="0" xfId="48" applyFont="1" applyFill="1" applyBorder="1" applyAlignment="1" applyProtection="1">
      <alignment horizontal="right"/>
    </xf>
    <xf numFmtId="0" fontId="36" fillId="0" borderId="11" xfId="21" applyFont="1" applyFill="1" applyBorder="1" applyAlignment="1">
      <alignment horizontal="center" vertical="center" wrapText="1"/>
    </xf>
    <xf numFmtId="0" fontId="36" fillId="0" borderId="10" xfId="21" applyFont="1" applyFill="1" applyBorder="1" applyAlignment="1">
      <alignment horizontal="center" vertical="center" wrapText="1"/>
    </xf>
    <xf numFmtId="0" fontId="36" fillId="0" borderId="4" xfId="21" applyFont="1" applyFill="1" applyBorder="1" applyAlignment="1">
      <alignment horizontal="center" vertical="center" wrapText="1"/>
    </xf>
    <xf numFmtId="0" fontId="36" fillId="0" borderId="6" xfId="21" applyFont="1" applyFill="1" applyBorder="1" applyAlignment="1">
      <alignment horizontal="center" vertical="center" wrapText="1"/>
    </xf>
    <xf numFmtId="0" fontId="36" fillId="0" borderId="17" xfId="21" applyFont="1" applyFill="1" applyBorder="1" applyAlignment="1">
      <alignment horizontal="center" vertical="center" wrapText="1"/>
    </xf>
    <xf numFmtId="0" fontId="36" fillId="0" borderId="23" xfId="21" applyFont="1" applyFill="1" applyBorder="1" applyAlignment="1">
      <alignment horizontal="center" vertical="center" wrapText="1"/>
    </xf>
    <xf numFmtId="0" fontId="35" fillId="0" borderId="39" xfId="21" applyFont="1" applyFill="1" applyBorder="1" applyAlignment="1" applyProtection="1">
      <alignment horizontal="left"/>
    </xf>
    <xf numFmtId="0" fontId="35" fillId="0" borderId="25" xfId="21" applyFont="1" applyFill="1" applyBorder="1" applyAlignment="1" applyProtection="1">
      <alignment horizontal="left"/>
    </xf>
    <xf numFmtId="0" fontId="27" fillId="0" borderId="51" xfId="21" applyFont="1" applyFill="1" applyBorder="1" applyAlignment="1">
      <alignment horizontal="justify" vertical="center" wrapText="1"/>
    </xf>
    <xf numFmtId="165" fontId="68" fillId="0" borderId="0" xfId="0" applyNumberFormat="1" applyFont="1" applyFill="1" applyAlignment="1">
      <alignment horizontal="right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18" fillId="0" borderId="0" xfId="0" applyNumberFormat="1" applyFont="1" applyFill="1" applyAlignment="1">
      <alignment horizontal="right" vertical="center" wrapText="1"/>
    </xf>
    <xf numFmtId="165" fontId="29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29" fillId="0" borderId="0" xfId="0" applyFont="1" applyFill="1" applyAlignment="1" applyProtection="1">
      <alignment horizontal="center" wrapText="1"/>
    </xf>
    <xf numFmtId="0" fontId="37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37" fillId="0" borderId="24" xfId="0" applyFont="1" applyFill="1" applyBorder="1" applyAlignment="1" applyProtection="1">
      <alignment horizontal="right"/>
    </xf>
    <xf numFmtId="0" fontId="81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1" fillId="0" borderId="0" xfId="0" applyFont="1" applyFill="1" applyAlignment="1" applyProtection="1">
      <alignment horizontal="center" wrapText="1"/>
    </xf>
    <xf numFmtId="0" fontId="7" fillId="0" borderId="0" xfId="0" applyFont="1" applyFill="1" applyAlignment="1" applyProtection="1">
      <alignment horizontal="right" vertical="center" wrapText="1"/>
    </xf>
    <xf numFmtId="0" fontId="10" fillId="0" borderId="34" xfId="0" applyFont="1" applyFill="1" applyBorder="1" applyAlignment="1" applyProtection="1">
      <alignment horizontal="left" vertical="center"/>
    </xf>
    <xf numFmtId="0" fontId="10" fillId="0" borderId="33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0" borderId="39" xfId="0" applyFont="1" applyFill="1" applyBorder="1" applyAlignment="1" applyProtection="1">
      <alignment horizontal="left" vertical="center" wrapText="1"/>
    </xf>
    <xf numFmtId="0" fontId="68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1" fillId="0" borderId="12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77" fillId="0" borderId="0" xfId="25" applyFont="1" applyAlignment="1">
      <alignment horizontal="right"/>
    </xf>
    <xf numFmtId="0" fontId="71" fillId="0" borderId="15" xfId="25" applyFont="1" applyBorder="1" applyAlignment="1">
      <alignment horizontal="center" vertical="center"/>
    </xf>
    <xf numFmtId="0" fontId="71" fillId="0" borderId="7" xfId="25" applyFont="1" applyBorder="1" applyAlignment="1">
      <alignment horizontal="center" vertical="center"/>
    </xf>
    <xf numFmtId="0" fontId="71" fillId="0" borderId="9" xfId="25" applyFont="1" applyBorder="1" applyAlignment="1">
      <alignment horizontal="center" vertical="center"/>
    </xf>
    <xf numFmtId="0" fontId="71" fillId="0" borderId="4" xfId="25" applyFont="1" applyBorder="1" applyAlignment="1">
      <alignment horizontal="left"/>
    </xf>
    <xf numFmtId="0" fontId="89" fillId="0" borderId="4" xfId="25" applyFont="1" applyBorder="1" applyAlignment="1">
      <alignment horizontal="left"/>
    </xf>
    <xf numFmtId="0" fontId="71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1" fillId="0" borderId="6" xfId="25" applyFont="1" applyBorder="1" applyAlignment="1">
      <alignment horizontal="center" vertical="top" wrapText="1"/>
    </xf>
    <xf numFmtId="0" fontId="71" fillId="0" borderId="3" xfId="25" applyFont="1" applyBorder="1" applyAlignment="1">
      <alignment horizontal="center" vertical="top" wrapText="1"/>
    </xf>
    <xf numFmtId="0" fontId="21" fillId="0" borderId="0" xfId="20" applyFont="1" applyAlignment="1">
      <alignment horizontal="right"/>
    </xf>
    <xf numFmtId="0" fontId="0" fillId="0" borderId="47" xfId="20" applyFont="1" applyBorder="1" applyAlignment="1">
      <alignment horizontal="left"/>
    </xf>
    <xf numFmtId="0" fontId="0" fillId="0" borderId="72" xfId="20" applyFont="1" applyBorder="1" applyAlignment="1">
      <alignment horizontal="left"/>
    </xf>
    <xf numFmtId="0" fontId="0" fillId="0" borderId="36" xfId="20" applyFont="1" applyBorder="1" applyAlignment="1">
      <alignment horizontal="left"/>
    </xf>
    <xf numFmtId="0" fontId="7" fillId="0" borderId="0" xfId="21" applyFont="1" applyFill="1" applyAlignment="1">
      <alignment horizontal="right"/>
    </xf>
    <xf numFmtId="0" fontId="29" fillId="0" borderId="0" xfId="21" applyFont="1" applyFill="1" applyAlignment="1">
      <alignment horizontal="center" wrapText="1"/>
    </xf>
    <xf numFmtId="0" fontId="29" fillId="0" borderId="0" xfId="21" applyFont="1" applyFill="1" applyAlignment="1">
      <alignment horizontal="center"/>
    </xf>
    <xf numFmtId="165" fontId="14" fillId="0" borderId="34" xfId="50" applyNumberFormat="1" applyFont="1" applyFill="1" applyBorder="1" applyAlignment="1" applyProtection="1">
      <alignment horizontal="left" vertical="center" wrapText="1" indent="2"/>
    </xf>
    <xf numFmtId="165" fontId="14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4" fillId="0" borderId="61" xfId="50" applyNumberFormat="1" applyFont="1" applyFill="1" applyBorder="1" applyAlignment="1" applyProtection="1">
      <alignment horizontal="center" vertical="center" wrapText="1"/>
    </xf>
    <xf numFmtId="0" fontId="14" fillId="0" borderId="59" xfId="50" applyNumberFormat="1" applyFont="1" applyFill="1" applyBorder="1" applyAlignment="1" applyProtection="1">
      <alignment horizontal="center" vertical="center" wrapText="1"/>
    </xf>
    <xf numFmtId="0" fontId="14" fillId="0" borderId="61" xfId="50" applyNumberFormat="1" applyFont="1" applyFill="1" applyBorder="1" applyAlignment="1" applyProtection="1">
      <alignment horizontal="center" vertical="center"/>
    </xf>
    <xf numFmtId="0" fontId="14" fillId="0" borderId="59" xfId="50" applyNumberFormat="1" applyFont="1" applyFill="1" applyBorder="1" applyAlignment="1" applyProtection="1">
      <alignment horizontal="center" vertical="center"/>
    </xf>
    <xf numFmtId="0" fontId="14" fillId="0" borderId="46" xfId="50" applyNumberFormat="1" applyFont="1" applyFill="1" applyBorder="1" applyAlignment="1" applyProtection="1">
      <alignment horizontal="center" vertical="center"/>
    </xf>
    <xf numFmtId="0" fontId="14" fillId="0" borderId="71" xfId="50" applyNumberFormat="1" applyFont="1" applyFill="1" applyBorder="1" applyAlignment="1" applyProtection="1">
      <alignment horizontal="center" vertical="center"/>
    </xf>
    <xf numFmtId="0" fontId="14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2" fillId="0" borderId="0" xfId="0" applyFont="1" applyAlignment="1">
      <alignment horizontal="center" wrapText="1"/>
    </xf>
    <xf numFmtId="0" fontId="34" fillId="0" borderId="51" xfId="0" applyFont="1" applyFill="1" applyBorder="1" applyAlignment="1">
      <alignment horizontal="justify" vertical="center" wrapText="1"/>
    </xf>
    <xf numFmtId="0" fontId="7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6" fillId="0" borderId="68" xfId="23" applyFont="1" applyFill="1" applyBorder="1" applyAlignment="1" applyProtection="1">
      <alignment horizontal="left" vertical="center" indent="1"/>
    </xf>
    <xf numFmtId="0" fontId="26" fillId="0" borderId="35" xfId="23" applyFont="1" applyFill="1" applyBorder="1" applyAlignment="1" applyProtection="1">
      <alignment horizontal="left" vertical="center" indent="1"/>
    </xf>
    <xf numFmtId="0" fontId="26" fillId="0" borderId="44" xfId="23" applyFont="1" applyFill="1" applyBorder="1" applyAlignment="1" applyProtection="1">
      <alignment horizontal="left" vertical="center" indent="1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7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118" fillId="0" borderId="11" xfId="18" applyFont="1" applyBorder="1" applyAlignment="1">
      <alignment horizontal="center" vertical="center"/>
    </xf>
    <xf numFmtId="0" fontId="118" fillId="0" borderId="8" xfId="18" applyFont="1" applyBorder="1" applyAlignment="1">
      <alignment horizontal="center" vertical="center"/>
    </xf>
    <xf numFmtId="0" fontId="118" fillId="0" borderId="10" xfId="18" applyFont="1" applyBorder="1" applyAlignment="1">
      <alignment horizontal="center" vertical="center"/>
    </xf>
    <xf numFmtId="0" fontId="118" fillId="0" borderId="4" xfId="18" applyFont="1" applyBorder="1" applyAlignment="1">
      <alignment horizontal="center" vertical="center" wrapText="1"/>
    </xf>
    <xf numFmtId="0" fontId="118" fillId="0" borderId="2" xfId="18" applyFont="1" applyBorder="1" applyAlignment="1">
      <alignment horizontal="center" vertical="center" wrapText="1"/>
    </xf>
    <xf numFmtId="0" fontId="118" fillId="0" borderId="6" xfId="18" applyFont="1" applyBorder="1" applyAlignment="1">
      <alignment horizontal="center" vertical="center" wrapText="1"/>
    </xf>
    <xf numFmtId="170" fontId="118" fillId="0" borderId="17" xfId="18" applyNumberFormat="1" applyFont="1" applyFill="1" applyBorder="1" applyAlignment="1">
      <alignment horizontal="right" vertical="center" wrapText="1"/>
    </xf>
    <xf numFmtId="170" fontId="118" fillId="0" borderId="18" xfId="18" applyNumberFormat="1" applyFont="1" applyFill="1" applyBorder="1" applyAlignment="1">
      <alignment horizontal="right" vertical="center" wrapText="1"/>
    </xf>
    <xf numFmtId="170" fontId="118" fillId="0" borderId="23" xfId="18" applyNumberFormat="1" applyFont="1" applyFill="1" applyBorder="1" applyAlignment="1">
      <alignment horizontal="right" vertical="center" wrapText="1"/>
    </xf>
    <xf numFmtId="0" fontId="118" fillId="0" borderId="62" xfId="18" applyFont="1" applyBorder="1" applyAlignment="1">
      <alignment horizontal="center" vertical="center" wrapText="1"/>
    </xf>
    <xf numFmtId="0" fontId="118" fillId="0" borderId="66" xfId="18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9" fillId="0" borderId="0" xfId="0" applyFont="1" applyAlignment="1">
      <alignment horizontal="center" wrapText="1"/>
    </xf>
    <xf numFmtId="0" fontId="40" fillId="0" borderId="0" xfId="0" applyFont="1" applyAlignment="1" applyProtection="1">
      <alignment horizontal="right"/>
    </xf>
    <xf numFmtId="0" fontId="35" fillId="0" borderId="34" xfId="0" applyFont="1" applyBorder="1" applyAlignment="1" applyProtection="1">
      <alignment horizontal="right" vertical="center" indent="2"/>
    </xf>
    <xf numFmtId="0" fontId="35" fillId="0" borderId="44" xfId="0" applyFont="1" applyBorder="1" applyAlignment="1" applyProtection="1">
      <alignment horizontal="right" vertical="center" indent="2"/>
    </xf>
    <xf numFmtId="0" fontId="14" fillId="0" borderId="34" xfId="19" applyFont="1" applyBorder="1" applyAlignment="1">
      <alignment horizontal="right"/>
    </xf>
    <xf numFmtId="0" fontId="14" fillId="0" borderId="44" xfId="19" applyFont="1" applyBorder="1" applyAlignment="1">
      <alignment horizontal="right"/>
    </xf>
    <xf numFmtId="0" fontId="37" fillId="0" borderId="63" xfId="19" applyFont="1" applyBorder="1" applyAlignment="1">
      <alignment horizontal="center"/>
    </xf>
    <xf numFmtId="0" fontId="37" fillId="0" borderId="51" xfId="19" applyFont="1" applyBorder="1" applyAlignment="1">
      <alignment horizontal="center"/>
    </xf>
    <xf numFmtId="0" fontId="37" fillId="0" borderId="35" xfId="19" applyFont="1" applyBorder="1" applyAlignment="1">
      <alignment horizontal="center"/>
    </xf>
    <xf numFmtId="0" fontId="37" fillId="0" borderId="44" xfId="19" applyFont="1" applyBorder="1" applyAlignment="1">
      <alignment horizontal="center"/>
    </xf>
    <xf numFmtId="0" fontId="37" fillId="0" borderId="43" xfId="19" applyFont="1" applyBorder="1" applyAlignment="1">
      <alignment horizontal="center"/>
    </xf>
    <xf numFmtId="0" fontId="37" fillId="0" borderId="0" xfId="19" applyFont="1" applyBorder="1" applyAlignment="1">
      <alignment horizontal="center"/>
    </xf>
    <xf numFmtId="0" fontId="37" fillId="0" borderId="52" xfId="19" applyFont="1" applyBorder="1" applyAlignment="1">
      <alignment horizontal="center"/>
    </xf>
    <xf numFmtId="0" fontId="37" fillId="0" borderId="48" xfId="19" applyFont="1" applyBorder="1" applyAlignment="1">
      <alignment horizontal="center"/>
    </xf>
    <xf numFmtId="49" fontId="37" fillId="0" borderId="43" xfId="19" applyNumberFormat="1" applyFont="1" applyBorder="1" applyAlignment="1">
      <alignment horizontal="center"/>
    </xf>
    <xf numFmtId="49" fontId="37" fillId="0" borderId="0" xfId="19" applyNumberFormat="1" applyFont="1" applyBorder="1" applyAlignment="1">
      <alignment horizontal="center"/>
    </xf>
    <xf numFmtId="49" fontId="37" fillId="0" borderId="24" xfId="19" applyNumberFormat="1" applyFont="1" applyBorder="1" applyAlignment="1">
      <alignment horizontal="center"/>
    </xf>
    <xf numFmtId="49" fontId="37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24" fillId="0" borderId="34" xfId="19" quotePrefix="1" applyFont="1" applyBorder="1" applyAlignment="1">
      <alignment horizontal="right"/>
    </xf>
    <xf numFmtId="0" fontId="24" fillId="0" borderId="44" xfId="19" quotePrefix="1" applyFont="1" applyBorder="1" applyAlignment="1">
      <alignment horizontal="right"/>
    </xf>
    <xf numFmtId="0" fontId="110" fillId="0" borderId="0" xfId="19" applyFont="1" applyAlignment="1">
      <alignment horizontal="right"/>
    </xf>
    <xf numFmtId="3" fontId="7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13" fillId="0" borderId="61" xfId="19" applyFont="1" applyBorder="1" applyAlignment="1">
      <alignment horizontal="center" vertical="center" wrapText="1"/>
    </xf>
    <xf numFmtId="0" fontId="13" fillId="0" borderId="38" xfId="19" applyFont="1" applyBorder="1" applyAlignment="1">
      <alignment horizontal="center" vertical="center" wrapText="1"/>
    </xf>
    <xf numFmtId="0" fontId="13" fillId="0" borderId="59" xfId="19" applyFont="1" applyBorder="1" applyAlignment="1">
      <alignment horizontal="center" vertical="center" wrapText="1"/>
    </xf>
    <xf numFmtId="0" fontId="13" fillId="0" borderId="11" xfId="19" applyFont="1" applyBorder="1" applyAlignment="1">
      <alignment horizontal="center"/>
    </xf>
    <xf numFmtId="0" fontId="13" fillId="0" borderId="4" xfId="19" applyFont="1" applyBorder="1" applyAlignment="1">
      <alignment horizontal="center"/>
    </xf>
    <xf numFmtId="0" fontId="13" fillId="0" borderId="17" xfId="19" applyFont="1" applyBorder="1" applyAlignment="1">
      <alignment horizontal="center"/>
    </xf>
    <xf numFmtId="0" fontId="29" fillId="0" borderId="0" xfId="21" applyFont="1" applyFill="1" applyAlignment="1" applyProtection="1">
      <alignment horizontal="center" wrapText="1"/>
    </xf>
    <xf numFmtId="0" fontId="21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3" fillId="0" borderId="61" xfId="25" applyFont="1" applyBorder="1" applyAlignment="1">
      <alignment horizontal="center" vertical="center"/>
    </xf>
    <xf numFmtId="0" fontId="33" fillId="0" borderId="38" xfId="25" applyFont="1" applyBorder="1" applyAlignment="1">
      <alignment horizontal="center" vertical="center"/>
    </xf>
    <xf numFmtId="0" fontId="33" fillId="0" borderId="59" xfId="25" applyFont="1" applyBorder="1" applyAlignment="1">
      <alignment horizontal="center" vertical="center"/>
    </xf>
    <xf numFmtId="0" fontId="25" fillId="0" borderId="61" xfId="25" applyFont="1" applyBorder="1" applyAlignment="1">
      <alignment horizontal="center" vertical="center" wrapText="1"/>
    </xf>
    <xf numFmtId="0" fontId="25" fillId="0" borderId="38" xfId="25" applyFont="1" applyBorder="1" applyAlignment="1">
      <alignment horizontal="center" vertical="center" wrapText="1"/>
    </xf>
    <xf numFmtId="0" fontId="25" fillId="0" borderId="59" xfId="25" applyFont="1" applyBorder="1" applyAlignment="1">
      <alignment horizontal="center" vertical="center" wrapText="1"/>
    </xf>
    <xf numFmtId="0" fontId="0" fillId="0" borderId="7" xfId="48" applyNumberFormat="1" applyFont="1" applyFill="1" applyBorder="1" applyAlignment="1" applyProtection="1">
      <alignment vertical="center" wrapText="1"/>
      <protection locked="0"/>
    </xf>
    <xf numFmtId="0" fontId="100" fillId="0" borderId="8" xfId="0" applyFont="1" applyFill="1" applyBorder="1"/>
  </cellXfs>
  <cellStyles count="7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3" xfId="65"/>
    <cellStyle name="Ezres 5 3" xfId="53"/>
    <cellStyle name="Ezres 5 4" xfId="57"/>
    <cellStyle name="Ezres 6" xfId="39"/>
    <cellStyle name="Ezres 6 2" xfId="45"/>
    <cellStyle name="Ezres 6 2 2" xfId="73"/>
    <cellStyle name="Ezres 6 2 3" xfId="68"/>
    <cellStyle name="Ezres 6 3" xfId="49"/>
    <cellStyle name="Ezres 6 4" xfId="62"/>
    <cellStyle name="Ezres 7" xfId="41"/>
    <cellStyle name="Ezres 7 2" xfId="47"/>
    <cellStyle name="Ezres 7 3" xfId="51"/>
    <cellStyle name="Ezres 7 4" xfId="60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3" xfId="64"/>
    <cellStyle name="Normál 4 3" xfId="52"/>
    <cellStyle name="Normál 4 4" xfId="56"/>
    <cellStyle name="Normál 5" xfId="38"/>
    <cellStyle name="Normál 5 2" xfId="44"/>
    <cellStyle name="Normál 5 2 2" xfId="72"/>
    <cellStyle name="Normál 5 2 3" xfId="67"/>
    <cellStyle name="Normál 5 3" xfId="48"/>
    <cellStyle name="Normál 5 4" xfId="61"/>
    <cellStyle name="Normál 6" xfId="40"/>
    <cellStyle name="Normál 6 2" xfId="46"/>
    <cellStyle name="Normál 6 3" xfId="50"/>
    <cellStyle name="Normál 6 4" xfId="59"/>
    <cellStyle name="Normál 7" xfId="54"/>
    <cellStyle name="Normál 7 2" xfId="69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6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16" t="s">
        <v>751</v>
      </c>
      <c r="B1" s="1416"/>
      <c r="C1" s="1416"/>
      <c r="D1" s="1416"/>
      <c r="E1" s="1416"/>
      <c r="F1" s="1416"/>
      <c r="G1" s="1416"/>
      <c r="H1" s="1416"/>
      <c r="I1" s="1416"/>
      <c r="J1" s="1416"/>
    </row>
    <row r="2" spans="1:10" x14ac:dyDescent="0.2">
      <c r="A2" s="799">
        <v>2021</v>
      </c>
      <c r="B2" s="799" t="s">
        <v>752</v>
      </c>
      <c r="C2" s="790"/>
      <c r="D2" s="790"/>
      <c r="E2" s="790"/>
      <c r="F2" s="790"/>
      <c r="G2" s="790"/>
      <c r="H2" s="790"/>
      <c r="I2" s="790"/>
      <c r="J2" s="790"/>
    </row>
    <row r="3" spans="1:10" ht="15.75" x14ac:dyDescent="0.25">
      <c r="A3" s="1417" t="s">
        <v>760</v>
      </c>
      <c r="B3" s="1417"/>
      <c r="C3" s="1417"/>
      <c r="D3" s="1417"/>
      <c r="E3" s="1417"/>
      <c r="F3" s="1417"/>
      <c r="G3" s="1417"/>
      <c r="H3" s="1417"/>
      <c r="I3" s="790"/>
      <c r="J3" s="790"/>
    </row>
    <row r="6" spans="1:10" ht="15" x14ac:dyDescent="0.25">
      <c r="A6" s="794" t="s">
        <v>753</v>
      </c>
      <c r="B6" s="790"/>
      <c r="C6" s="790"/>
      <c r="D6" s="790"/>
      <c r="E6" s="790"/>
      <c r="F6" s="790"/>
      <c r="G6" s="790"/>
      <c r="H6" s="790"/>
      <c r="I6" s="790"/>
      <c r="J6" s="790"/>
    </row>
    <row r="7" spans="1:10" x14ac:dyDescent="0.2">
      <c r="A7" s="795" t="s">
        <v>754</v>
      </c>
      <c r="B7" s="796">
        <v>2</v>
      </c>
      <c r="C7" s="797" t="s">
        <v>755</v>
      </c>
      <c r="D7" s="797" t="s">
        <v>852</v>
      </c>
      <c r="E7" s="797" t="s">
        <v>756</v>
      </c>
      <c r="F7" s="796" t="s">
        <v>1037</v>
      </c>
      <c r="G7" s="797" t="s">
        <v>757</v>
      </c>
      <c r="H7" s="797" t="s">
        <v>834</v>
      </c>
      <c r="I7" s="797"/>
      <c r="J7" s="797"/>
    </row>
    <row r="8" spans="1:10" x14ac:dyDescent="0.2">
      <c r="A8" s="791"/>
      <c r="B8" s="791"/>
      <c r="C8" s="791"/>
      <c r="D8" s="791"/>
      <c r="E8" s="791"/>
      <c r="F8" s="791"/>
      <c r="G8" s="791"/>
      <c r="H8" s="791"/>
      <c r="I8" s="791"/>
      <c r="J8" s="791"/>
    </row>
    <row r="11" spans="1:10" ht="14.25" x14ac:dyDescent="0.2">
      <c r="A11" s="798" t="s">
        <v>758</v>
      </c>
      <c r="B11" s="1418" t="s">
        <v>759</v>
      </c>
      <c r="C11" s="1418"/>
      <c r="D11" s="1418"/>
      <c r="E11" s="1418"/>
      <c r="F11" s="1418"/>
      <c r="G11" s="1418"/>
      <c r="H11" s="1418"/>
      <c r="I11" s="793"/>
      <c r="J11" s="793"/>
    </row>
    <row r="12" spans="1:10" ht="14.25" x14ac:dyDescent="0.2">
      <c r="A12" s="798" t="s">
        <v>761</v>
      </c>
    </row>
    <row r="13" spans="1:10" ht="14.25" x14ac:dyDescent="0.2">
      <c r="A13" s="798" t="s">
        <v>762</v>
      </c>
    </row>
    <row r="14" spans="1:10" ht="14.25" x14ac:dyDescent="0.2">
      <c r="A14" s="798" t="s">
        <v>763</v>
      </c>
    </row>
    <row r="15" spans="1:10" ht="14.25" x14ac:dyDescent="0.2">
      <c r="A15" s="798" t="s">
        <v>758</v>
      </c>
    </row>
    <row r="16" spans="1:10" ht="14.25" x14ac:dyDescent="0.2">
      <c r="A16" s="798" t="s">
        <v>758</v>
      </c>
    </row>
    <row r="17" spans="1:1" ht="14.25" x14ac:dyDescent="0.2">
      <c r="A17" s="798" t="s">
        <v>758</v>
      </c>
    </row>
    <row r="18" spans="1:1" ht="14.25" x14ac:dyDescent="0.2">
      <c r="A18" s="798" t="s">
        <v>758</v>
      </c>
    </row>
    <row r="19" spans="1:1" ht="14.25" x14ac:dyDescent="0.2">
      <c r="A19" s="798" t="s">
        <v>758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F11" sqref="F11"/>
    </sheetView>
  </sheetViews>
  <sheetFormatPr defaultRowHeight="15" x14ac:dyDescent="0.25"/>
  <cols>
    <col min="1" max="1" width="5.6640625" style="824" customWidth="1"/>
    <col min="2" max="2" width="41.1640625" style="824" customWidth="1"/>
    <col min="3" max="3" width="17.6640625" style="824" customWidth="1"/>
    <col min="4" max="7" width="14" style="824" customWidth="1"/>
    <col min="8" max="8" width="16.6640625" style="824" customWidth="1"/>
    <col min="9" max="256" width="9.33203125" style="824"/>
    <col min="257" max="257" width="5.6640625" style="824" customWidth="1"/>
    <col min="258" max="258" width="41.1640625" style="824" customWidth="1"/>
    <col min="259" max="259" width="17.6640625" style="824" customWidth="1"/>
    <col min="260" max="263" width="14" style="824" customWidth="1"/>
    <col min="264" max="264" width="16.6640625" style="824" customWidth="1"/>
    <col min="265" max="512" width="9.33203125" style="824"/>
    <col min="513" max="513" width="5.6640625" style="824" customWidth="1"/>
    <col min="514" max="514" width="41.1640625" style="824" customWidth="1"/>
    <col min="515" max="515" width="17.6640625" style="824" customWidth="1"/>
    <col min="516" max="519" width="14" style="824" customWidth="1"/>
    <col min="520" max="520" width="16.6640625" style="824" customWidth="1"/>
    <col min="521" max="768" width="9.33203125" style="824"/>
    <col min="769" max="769" width="5.6640625" style="824" customWidth="1"/>
    <col min="770" max="770" width="41.1640625" style="824" customWidth="1"/>
    <col min="771" max="771" width="17.6640625" style="824" customWidth="1"/>
    <col min="772" max="775" width="14" style="824" customWidth="1"/>
    <col min="776" max="776" width="16.6640625" style="824" customWidth="1"/>
    <col min="777" max="1024" width="9.33203125" style="824"/>
    <col min="1025" max="1025" width="5.6640625" style="824" customWidth="1"/>
    <col min="1026" max="1026" width="41.1640625" style="824" customWidth="1"/>
    <col min="1027" max="1027" width="17.6640625" style="824" customWidth="1"/>
    <col min="1028" max="1031" width="14" style="824" customWidth="1"/>
    <col min="1032" max="1032" width="16.6640625" style="824" customWidth="1"/>
    <col min="1033" max="1280" width="9.33203125" style="824"/>
    <col min="1281" max="1281" width="5.6640625" style="824" customWidth="1"/>
    <col min="1282" max="1282" width="41.1640625" style="824" customWidth="1"/>
    <col min="1283" max="1283" width="17.6640625" style="824" customWidth="1"/>
    <col min="1284" max="1287" width="14" style="824" customWidth="1"/>
    <col min="1288" max="1288" width="16.6640625" style="824" customWidth="1"/>
    <col min="1289" max="1536" width="9.33203125" style="824"/>
    <col min="1537" max="1537" width="5.6640625" style="824" customWidth="1"/>
    <col min="1538" max="1538" width="41.1640625" style="824" customWidth="1"/>
    <col min="1539" max="1539" width="17.6640625" style="824" customWidth="1"/>
    <col min="1540" max="1543" width="14" style="824" customWidth="1"/>
    <col min="1544" max="1544" width="16.6640625" style="824" customWidth="1"/>
    <col min="1545" max="1792" width="9.33203125" style="824"/>
    <col min="1793" max="1793" width="5.6640625" style="824" customWidth="1"/>
    <col min="1794" max="1794" width="41.1640625" style="824" customWidth="1"/>
    <col min="1795" max="1795" width="17.6640625" style="824" customWidth="1"/>
    <col min="1796" max="1799" width="14" style="824" customWidth="1"/>
    <col min="1800" max="1800" width="16.6640625" style="824" customWidth="1"/>
    <col min="1801" max="2048" width="9.33203125" style="824"/>
    <col min="2049" max="2049" width="5.6640625" style="824" customWidth="1"/>
    <col min="2050" max="2050" width="41.1640625" style="824" customWidth="1"/>
    <col min="2051" max="2051" width="17.6640625" style="824" customWidth="1"/>
    <col min="2052" max="2055" width="14" style="824" customWidth="1"/>
    <col min="2056" max="2056" width="16.6640625" style="824" customWidth="1"/>
    <col min="2057" max="2304" width="9.33203125" style="824"/>
    <col min="2305" max="2305" width="5.6640625" style="824" customWidth="1"/>
    <col min="2306" max="2306" width="41.1640625" style="824" customWidth="1"/>
    <col min="2307" max="2307" width="17.6640625" style="824" customWidth="1"/>
    <col min="2308" max="2311" width="14" style="824" customWidth="1"/>
    <col min="2312" max="2312" width="16.6640625" style="824" customWidth="1"/>
    <col min="2313" max="2560" width="9.33203125" style="824"/>
    <col min="2561" max="2561" width="5.6640625" style="824" customWidth="1"/>
    <col min="2562" max="2562" width="41.1640625" style="824" customWidth="1"/>
    <col min="2563" max="2563" width="17.6640625" style="824" customWidth="1"/>
    <col min="2564" max="2567" width="14" style="824" customWidth="1"/>
    <col min="2568" max="2568" width="16.6640625" style="824" customWidth="1"/>
    <col min="2569" max="2816" width="9.33203125" style="824"/>
    <col min="2817" max="2817" width="5.6640625" style="824" customWidth="1"/>
    <col min="2818" max="2818" width="41.1640625" style="824" customWidth="1"/>
    <col min="2819" max="2819" width="17.6640625" style="824" customWidth="1"/>
    <col min="2820" max="2823" width="14" style="824" customWidth="1"/>
    <col min="2824" max="2824" width="16.6640625" style="824" customWidth="1"/>
    <col min="2825" max="3072" width="9.33203125" style="824"/>
    <col min="3073" max="3073" width="5.6640625" style="824" customWidth="1"/>
    <col min="3074" max="3074" width="41.1640625" style="824" customWidth="1"/>
    <col min="3075" max="3075" width="17.6640625" style="824" customWidth="1"/>
    <col min="3076" max="3079" width="14" style="824" customWidth="1"/>
    <col min="3080" max="3080" width="16.6640625" style="824" customWidth="1"/>
    <col min="3081" max="3328" width="9.33203125" style="824"/>
    <col min="3329" max="3329" width="5.6640625" style="824" customWidth="1"/>
    <col min="3330" max="3330" width="41.1640625" style="824" customWidth="1"/>
    <col min="3331" max="3331" width="17.6640625" style="824" customWidth="1"/>
    <col min="3332" max="3335" width="14" style="824" customWidth="1"/>
    <col min="3336" max="3336" width="16.6640625" style="824" customWidth="1"/>
    <col min="3337" max="3584" width="9.33203125" style="824"/>
    <col min="3585" max="3585" width="5.6640625" style="824" customWidth="1"/>
    <col min="3586" max="3586" width="41.1640625" style="824" customWidth="1"/>
    <col min="3587" max="3587" width="17.6640625" style="824" customWidth="1"/>
    <col min="3588" max="3591" width="14" style="824" customWidth="1"/>
    <col min="3592" max="3592" width="16.6640625" style="824" customWidth="1"/>
    <col min="3593" max="3840" width="9.33203125" style="824"/>
    <col min="3841" max="3841" width="5.6640625" style="824" customWidth="1"/>
    <col min="3842" max="3842" width="41.1640625" style="824" customWidth="1"/>
    <col min="3843" max="3843" width="17.6640625" style="824" customWidth="1"/>
    <col min="3844" max="3847" width="14" style="824" customWidth="1"/>
    <col min="3848" max="3848" width="16.6640625" style="824" customWidth="1"/>
    <col min="3849" max="4096" width="9.33203125" style="824"/>
    <col min="4097" max="4097" width="5.6640625" style="824" customWidth="1"/>
    <col min="4098" max="4098" width="41.1640625" style="824" customWidth="1"/>
    <col min="4099" max="4099" width="17.6640625" style="824" customWidth="1"/>
    <col min="4100" max="4103" width="14" style="824" customWidth="1"/>
    <col min="4104" max="4104" width="16.6640625" style="824" customWidth="1"/>
    <col min="4105" max="4352" width="9.33203125" style="824"/>
    <col min="4353" max="4353" width="5.6640625" style="824" customWidth="1"/>
    <col min="4354" max="4354" width="41.1640625" style="824" customWidth="1"/>
    <col min="4355" max="4355" width="17.6640625" style="824" customWidth="1"/>
    <col min="4356" max="4359" width="14" style="824" customWidth="1"/>
    <col min="4360" max="4360" width="16.6640625" style="824" customWidth="1"/>
    <col min="4361" max="4608" width="9.33203125" style="824"/>
    <col min="4609" max="4609" width="5.6640625" style="824" customWidth="1"/>
    <col min="4610" max="4610" width="41.1640625" style="824" customWidth="1"/>
    <col min="4611" max="4611" width="17.6640625" style="824" customWidth="1"/>
    <col min="4612" max="4615" width="14" style="824" customWidth="1"/>
    <col min="4616" max="4616" width="16.6640625" style="824" customWidth="1"/>
    <col min="4617" max="4864" width="9.33203125" style="824"/>
    <col min="4865" max="4865" width="5.6640625" style="824" customWidth="1"/>
    <col min="4866" max="4866" width="41.1640625" style="824" customWidth="1"/>
    <col min="4867" max="4867" width="17.6640625" style="824" customWidth="1"/>
    <col min="4868" max="4871" width="14" style="824" customWidth="1"/>
    <col min="4872" max="4872" width="16.6640625" style="824" customWidth="1"/>
    <col min="4873" max="5120" width="9.33203125" style="824"/>
    <col min="5121" max="5121" width="5.6640625" style="824" customWidth="1"/>
    <col min="5122" max="5122" width="41.1640625" style="824" customWidth="1"/>
    <col min="5123" max="5123" width="17.6640625" style="824" customWidth="1"/>
    <col min="5124" max="5127" width="14" style="824" customWidth="1"/>
    <col min="5128" max="5128" width="16.6640625" style="824" customWidth="1"/>
    <col min="5129" max="5376" width="9.33203125" style="824"/>
    <col min="5377" max="5377" width="5.6640625" style="824" customWidth="1"/>
    <col min="5378" max="5378" width="41.1640625" style="824" customWidth="1"/>
    <col min="5379" max="5379" width="17.6640625" style="824" customWidth="1"/>
    <col min="5380" max="5383" width="14" style="824" customWidth="1"/>
    <col min="5384" max="5384" width="16.6640625" style="824" customWidth="1"/>
    <col min="5385" max="5632" width="9.33203125" style="824"/>
    <col min="5633" max="5633" width="5.6640625" style="824" customWidth="1"/>
    <col min="5634" max="5634" width="41.1640625" style="824" customWidth="1"/>
    <col min="5635" max="5635" width="17.6640625" style="824" customWidth="1"/>
    <col min="5636" max="5639" width="14" style="824" customWidth="1"/>
    <col min="5640" max="5640" width="16.6640625" style="824" customWidth="1"/>
    <col min="5641" max="5888" width="9.33203125" style="824"/>
    <col min="5889" max="5889" width="5.6640625" style="824" customWidth="1"/>
    <col min="5890" max="5890" width="41.1640625" style="824" customWidth="1"/>
    <col min="5891" max="5891" width="17.6640625" style="824" customWidth="1"/>
    <col min="5892" max="5895" width="14" style="824" customWidth="1"/>
    <col min="5896" max="5896" width="16.6640625" style="824" customWidth="1"/>
    <col min="5897" max="6144" width="9.33203125" style="824"/>
    <col min="6145" max="6145" width="5.6640625" style="824" customWidth="1"/>
    <col min="6146" max="6146" width="41.1640625" style="824" customWidth="1"/>
    <col min="6147" max="6147" width="17.6640625" style="824" customWidth="1"/>
    <col min="6148" max="6151" width="14" style="824" customWidth="1"/>
    <col min="6152" max="6152" width="16.6640625" style="824" customWidth="1"/>
    <col min="6153" max="6400" width="9.33203125" style="824"/>
    <col min="6401" max="6401" width="5.6640625" style="824" customWidth="1"/>
    <col min="6402" max="6402" width="41.1640625" style="824" customWidth="1"/>
    <col min="6403" max="6403" width="17.6640625" style="824" customWidth="1"/>
    <col min="6404" max="6407" width="14" style="824" customWidth="1"/>
    <col min="6408" max="6408" width="16.6640625" style="824" customWidth="1"/>
    <col min="6409" max="6656" width="9.33203125" style="824"/>
    <col min="6657" max="6657" width="5.6640625" style="824" customWidth="1"/>
    <col min="6658" max="6658" width="41.1640625" style="824" customWidth="1"/>
    <col min="6659" max="6659" width="17.6640625" style="824" customWidth="1"/>
    <col min="6660" max="6663" width="14" style="824" customWidth="1"/>
    <col min="6664" max="6664" width="16.6640625" style="824" customWidth="1"/>
    <col min="6665" max="6912" width="9.33203125" style="824"/>
    <col min="6913" max="6913" width="5.6640625" style="824" customWidth="1"/>
    <col min="6914" max="6914" width="41.1640625" style="824" customWidth="1"/>
    <col min="6915" max="6915" width="17.6640625" style="824" customWidth="1"/>
    <col min="6916" max="6919" width="14" style="824" customWidth="1"/>
    <col min="6920" max="6920" width="16.6640625" style="824" customWidth="1"/>
    <col min="6921" max="7168" width="9.33203125" style="824"/>
    <col min="7169" max="7169" width="5.6640625" style="824" customWidth="1"/>
    <col min="7170" max="7170" width="41.1640625" style="824" customWidth="1"/>
    <col min="7171" max="7171" width="17.6640625" style="824" customWidth="1"/>
    <col min="7172" max="7175" width="14" style="824" customWidth="1"/>
    <col min="7176" max="7176" width="16.6640625" style="824" customWidth="1"/>
    <col min="7177" max="7424" width="9.33203125" style="824"/>
    <col min="7425" max="7425" width="5.6640625" style="824" customWidth="1"/>
    <col min="7426" max="7426" width="41.1640625" style="824" customWidth="1"/>
    <col min="7427" max="7427" width="17.6640625" style="824" customWidth="1"/>
    <col min="7428" max="7431" width="14" style="824" customWidth="1"/>
    <col min="7432" max="7432" width="16.6640625" style="824" customWidth="1"/>
    <col min="7433" max="7680" width="9.33203125" style="824"/>
    <col min="7681" max="7681" width="5.6640625" style="824" customWidth="1"/>
    <col min="7682" max="7682" width="41.1640625" style="824" customWidth="1"/>
    <col min="7683" max="7683" width="17.6640625" style="824" customWidth="1"/>
    <col min="7684" max="7687" width="14" style="824" customWidth="1"/>
    <col min="7688" max="7688" width="16.6640625" style="824" customWidth="1"/>
    <col min="7689" max="7936" width="9.33203125" style="824"/>
    <col min="7937" max="7937" width="5.6640625" style="824" customWidth="1"/>
    <col min="7938" max="7938" width="41.1640625" style="824" customWidth="1"/>
    <col min="7939" max="7939" width="17.6640625" style="824" customWidth="1"/>
    <col min="7940" max="7943" width="14" style="824" customWidth="1"/>
    <col min="7944" max="7944" width="16.6640625" style="824" customWidth="1"/>
    <col min="7945" max="8192" width="9.33203125" style="824"/>
    <col min="8193" max="8193" width="5.6640625" style="824" customWidth="1"/>
    <col min="8194" max="8194" width="41.1640625" style="824" customWidth="1"/>
    <col min="8195" max="8195" width="17.6640625" style="824" customWidth="1"/>
    <col min="8196" max="8199" width="14" style="824" customWidth="1"/>
    <col min="8200" max="8200" width="16.6640625" style="824" customWidth="1"/>
    <col min="8201" max="8448" width="9.33203125" style="824"/>
    <col min="8449" max="8449" width="5.6640625" style="824" customWidth="1"/>
    <col min="8450" max="8450" width="41.1640625" style="824" customWidth="1"/>
    <col min="8451" max="8451" width="17.6640625" style="824" customWidth="1"/>
    <col min="8452" max="8455" width="14" style="824" customWidth="1"/>
    <col min="8456" max="8456" width="16.6640625" style="824" customWidth="1"/>
    <col min="8457" max="8704" width="9.33203125" style="824"/>
    <col min="8705" max="8705" width="5.6640625" style="824" customWidth="1"/>
    <col min="8706" max="8706" width="41.1640625" style="824" customWidth="1"/>
    <col min="8707" max="8707" width="17.6640625" style="824" customWidth="1"/>
    <col min="8708" max="8711" width="14" style="824" customWidth="1"/>
    <col min="8712" max="8712" width="16.6640625" style="824" customWidth="1"/>
    <col min="8713" max="8960" width="9.33203125" style="824"/>
    <col min="8961" max="8961" width="5.6640625" style="824" customWidth="1"/>
    <col min="8962" max="8962" width="41.1640625" style="824" customWidth="1"/>
    <col min="8963" max="8963" width="17.6640625" style="824" customWidth="1"/>
    <col min="8964" max="8967" width="14" style="824" customWidth="1"/>
    <col min="8968" max="8968" width="16.6640625" style="824" customWidth="1"/>
    <col min="8969" max="9216" width="9.33203125" style="824"/>
    <col min="9217" max="9217" width="5.6640625" style="824" customWidth="1"/>
    <col min="9218" max="9218" width="41.1640625" style="824" customWidth="1"/>
    <col min="9219" max="9219" width="17.6640625" style="824" customWidth="1"/>
    <col min="9220" max="9223" width="14" style="824" customWidth="1"/>
    <col min="9224" max="9224" width="16.6640625" style="824" customWidth="1"/>
    <col min="9225" max="9472" width="9.33203125" style="824"/>
    <col min="9473" max="9473" width="5.6640625" style="824" customWidth="1"/>
    <col min="9474" max="9474" width="41.1640625" style="824" customWidth="1"/>
    <col min="9475" max="9475" width="17.6640625" style="824" customWidth="1"/>
    <col min="9476" max="9479" width="14" style="824" customWidth="1"/>
    <col min="9480" max="9480" width="16.6640625" style="824" customWidth="1"/>
    <col min="9481" max="9728" width="9.33203125" style="824"/>
    <col min="9729" max="9729" width="5.6640625" style="824" customWidth="1"/>
    <col min="9730" max="9730" width="41.1640625" style="824" customWidth="1"/>
    <col min="9731" max="9731" width="17.6640625" style="824" customWidth="1"/>
    <col min="9732" max="9735" width="14" style="824" customWidth="1"/>
    <col min="9736" max="9736" width="16.6640625" style="824" customWidth="1"/>
    <col min="9737" max="9984" width="9.33203125" style="824"/>
    <col min="9985" max="9985" width="5.6640625" style="824" customWidth="1"/>
    <col min="9986" max="9986" width="41.1640625" style="824" customWidth="1"/>
    <col min="9987" max="9987" width="17.6640625" style="824" customWidth="1"/>
    <col min="9988" max="9991" width="14" style="824" customWidth="1"/>
    <col min="9992" max="9992" width="16.6640625" style="824" customWidth="1"/>
    <col min="9993" max="10240" width="9.33203125" style="824"/>
    <col min="10241" max="10241" width="5.6640625" style="824" customWidth="1"/>
    <col min="10242" max="10242" width="41.1640625" style="824" customWidth="1"/>
    <col min="10243" max="10243" width="17.6640625" style="824" customWidth="1"/>
    <col min="10244" max="10247" width="14" style="824" customWidth="1"/>
    <col min="10248" max="10248" width="16.6640625" style="824" customWidth="1"/>
    <col min="10249" max="10496" width="9.33203125" style="824"/>
    <col min="10497" max="10497" width="5.6640625" style="824" customWidth="1"/>
    <col min="10498" max="10498" width="41.1640625" style="824" customWidth="1"/>
    <col min="10499" max="10499" width="17.6640625" style="824" customWidth="1"/>
    <col min="10500" max="10503" width="14" style="824" customWidth="1"/>
    <col min="10504" max="10504" width="16.6640625" style="824" customWidth="1"/>
    <col min="10505" max="10752" width="9.33203125" style="824"/>
    <col min="10753" max="10753" width="5.6640625" style="824" customWidth="1"/>
    <col min="10754" max="10754" width="41.1640625" style="824" customWidth="1"/>
    <col min="10755" max="10755" width="17.6640625" style="824" customWidth="1"/>
    <col min="10756" max="10759" width="14" style="824" customWidth="1"/>
    <col min="10760" max="10760" width="16.6640625" style="824" customWidth="1"/>
    <col min="10761" max="11008" width="9.33203125" style="824"/>
    <col min="11009" max="11009" width="5.6640625" style="824" customWidth="1"/>
    <col min="11010" max="11010" width="41.1640625" style="824" customWidth="1"/>
    <col min="11011" max="11011" width="17.6640625" style="824" customWidth="1"/>
    <col min="11012" max="11015" width="14" style="824" customWidth="1"/>
    <col min="11016" max="11016" width="16.6640625" style="824" customWidth="1"/>
    <col min="11017" max="11264" width="9.33203125" style="824"/>
    <col min="11265" max="11265" width="5.6640625" style="824" customWidth="1"/>
    <col min="11266" max="11266" width="41.1640625" style="824" customWidth="1"/>
    <col min="11267" max="11267" width="17.6640625" style="824" customWidth="1"/>
    <col min="11268" max="11271" width="14" style="824" customWidth="1"/>
    <col min="11272" max="11272" width="16.6640625" style="824" customWidth="1"/>
    <col min="11273" max="11520" width="9.33203125" style="824"/>
    <col min="11521" max="11521" width="5.6640625" style="824" customWidth="1"/>
    <col min="11522" max="11522" width="41.1640625" style="824" customWidth="1"/>
    <col min="11523" max="11523" width="17.6640625" style="824" customWidth="1"/>
    <col min="11524" max="11527" width="14" style="824" customWidth="1"/>
    <col min="11528" max="11528" width="16.6640625" style="824" customWidth="1"/>
    <col min="11529" max="11776" width="9.33203125" style="824"/>
    <col min="11777" max="11777" width="5.6640625" style="824" customWidth="1"/>
    <col min="11778" max="11778" width="41.1640625" style="824" customWidth="1"/>
    <col min="11779" max="11779" width="17.6640625" style="824" customWidth="1"/>
    <col min="11780" max="11783" width="14" style="824" customWidth="1"/>
    <col min="11784" max="11784" width="16.6640625" style="824" customWidth="1"/>
    <col min="11785" max="12032" width="9.33203125" style="824"/>
    <col min="12033" max="12033" width="5.6640625" style="824" customWidth="1"/>
    <col min="12034" max="12034" width="41.1640625" style="824" customWidth="1"/>
    <col min="12035" max="12035" width="17.6640625" style="824" customWidth="1"/>
    <col min="12036" max="12039" width="14" style="824" customWidth="1"/>
    <col min="12040" max="12040" width="16.6640625" style="824" customWidth="1"/>
    <col min="12041" max="12288" width="9.33203125" style="824"/>
    <col min="12289" max="12289" width="5.6640625" style="824" customWidth="1"/>
    <col min="12290" max="12290" width="41.1640625" style="824" customWidth="1"/>
    <col min="12291" max="12291" width="17.6640625" style="824" customWidth="1"/>
    <col min="12292" max="12295" width="14" style="824" customWidth="1"/>
    <col min="12296" max="12296" width="16.6640625" style="824" customWidth="1"/>
    <col min="12297" max="12544" width="9.33203125" style="824"/>
    <col min="12545" max="12545" width="5.6640625" style="824" customWidth="1"/>
    <col min="12546" max="12546" width="41.1640625" style="824" customWidth="1"/>
    <col min="12547" max="12547" width="17.6640625" style="824" customWidth="1"/>
    <col min="12548" max="12551" width="14" style="824" customWidth="1"/>
    <col min="12552" max="12552" width="16.6640625" style="824" customWidth="1"/>
    <col min="12553" max="12800" width="9.33203125" style="824"/>
    <col min="12801" max="12801" width="5.6640625" style="824" customWidth="1"/>
    <col min="12802" max="12802" width="41.1640625" style="824" customWidth="1"/>
    <col min="12803" max="12803" width="17.6640625" style="824" customWidth="1"/>
    <col min="12804" max="12807" width="14" style="824" customWidth="1"/>
    <col min="12808" max="12808" width="16.6640625" style="824" customWidth="1"/>
    <col min="12809" max="13056" width="9.33203125" style="824"/>
    <col min="13057" max="13057" width="5.6640625" style="824" customWidth="1"/>
    <col min="13058" max="13058" width="41.1640625" style="824" customWidth="1"/>
    <col min="13059" max="13059" width="17.6640625" style="824" customWidth="1"/>
    <col min="13060" max="13063" width="14" style="824" customWidth="1"/>
    <col min="13064" max="13064" width="16.6640625" style="824" customWidth="1"/>
    <col min="13065" max="13312" width="9.33203125" style="824"/>
    <col min="13313" max="13313" width="5.6640625" style="824" customWidth="1"/>
    <col min="13314" max="13314" width="41.1640625" style="824" customWidth="1"/>
    <col min="13315" max="13315" width="17.6640625" style="824" customWidth="1"/>
    <col min="13316" max="13319" width="14" style="824" customWidth="1"/>
    <col min="13320" max="13320" width="16.6640625" style="824" customWidth="1"/>
    <col min="13321" max="13568" width="9.33203125" style="824"/>
    <col min="13569" max="13569" width="5.6640625" style="824" customWidth="1"/>
    <col min="13570" max="13570" width="41.1640625" style="824" customWidth="1"/>
    <col min="13571" max="13571" width="17.6640625" style="824" customWidth="1"/>
    <col min="13572" max="13575" width="14" style="824" customWidth="1"/>
    <col min="13576" max="13576" width="16.6640625" style="824" customWidth="1"/>
    <col min="13577" max="13824" width="9.33203125" style="824"/>
    <col min="13825" max="13825" width="5.6640625" style="824" customWidth="1"/>
    <col min="13826" max="13826" width="41.1640625" style="824" customWidth="1"/>
    <col min="13827" max="13827" width="17.6640625" style="824" customWidth="1"/>
    <col min="13828" max="13831" width="14" style="824" customWidth="1"/>
    <col min="13832" max="13832" width="16.6640625" style="824" customWidth="1"/>
    <col min="13833" max="14080" width="9.33203125" style="824"/>
    <col min="14081" max="14081" width="5.6640625" style="824" customWidth="1"/>
    <col min="14082" max="14082" width="41.1640625" style="824" customWidth="1"/>
    <col min="14083" max="14083" width="17.6640625" style="824" customWidth="1"/>
    <col min="14084" max="14087" width="14" style="824" customWidth="1"/>
    <col min="14088" max="14088" width="16.6640625" style="824" customWidth="1"/>
    <col min="14089" max="14336" width="9.33203125" style="824"/>
    <col min="14337" max="14337" width="5.6640625" style="824" customWidth="1"/>
    <col min="14338" max="14338" width="41.1640625" style="824" customWidth="1"/>
    <col min="14339" max="14339" width="17.6640625" style="824" customWidth="1"/>
    <col min="14340" max="14343" width="14" style="824" customWidth="1"/>
    <col min="14344" max="14344" width="16.6640625" style="824" customWidth="1"/>
    <col min="14345" max="14592" width="9.33203125" style="824"/>
    <col min="14593" max="14593" width="5.6640625" style="824" customWidth="1"/>
    <col min="14594" max="14594" width="41.1640625" style="824" customWidth="1"/>
    <col min="14595" max="14595" width="17.6640625" style="824" customWidth="1"/>
    <col min="14596" max="14599" width="14" style="824" customWidth="1"/>
    <col min="14600" max="14600" width="16.6640625" style="824" customWidth="1"/>
    <col min="14601" max="14848" width="9.33203125" style="824"/>
    <col min="14849" max="14849" width="5.6640625" style="824" customWidth="1"/>
    <col min="14850" max="14850" width="41.1640625" style="824" customWidth="1"/>
    <col min="14851" max="14851" width="17.6640625" style="824" customWidth="1"/>
    <col min="14852" max="14855" width="14" style="824" customWidth="1"/>
    <col min="14856" max="14856" width="16.6640625" style="824" customWidth="1"/>
    <col min="14857" max="15104" width="9.33203125" style="824"/>
    <col min="15105" max="15105" width="5.6640625" style="824" customWidth="1"/>
    <col min="15106" max="15106" width="41.1640625" style="824" customWidth="1"/>
    <col min="15107" max="15107" width="17.6640625" style="824" customWidth="1"/>
    <col min="15108" max="15111" width="14" style="824" customWidth="1"/>
    <col min="15112" max="15112" width="16.6640625" style="824" customWidth="1"/>
    <col min="15113" max="15360" width="9.33203125" style="824"/>
    <col min="15361" max="15361" width="5.6640625" style="824" customWidth="1"/>
    <col min="15362" max="15362" width="41.1640625" style="824" customWidth="1"/>
    <col min="15363" max="15363" width="17.6640625" style="824" customWidth="1"/>
    <col min="15364" max="15367" width="14" style="824" customWidth="1"/>
    <col min="15368" max="15368" width="16.6640625" style="824" customWidth="1"/>
    <col min="15369" max="15616" width="9.33203125" style="824"/>
    <col min="15617" max="15617" width="5.6640625" style="824" customWidth="1"/>
    <col min="15618" max="15618" width="41.1640625" style="824" customWidth="1"/>
    <col min="15619" max="15619" width="17.6640625" style="824" customWidth="1"/>
    <col min="15620" max="15623" width="14" style="824" customWidth="1"/>
    <col min="15624" max="15624" width="16.6640625" style="824" customWidth="1"/>
    <col min="15625" max="15872" width="9.33203125" style="824"/>
    <col min="15873" max="15873" width="5.6640625" style="824" customWidth="1"/>
    <col min="15874" max="15874" width="41.1640625" style="824" customWidth="1"/>
    <col min="15875" max="15875" width="17.6640625" style="824" customWidth="1"/>
    <col min="15876" max="15879" width="14" style="824" customWidth="1"/>
    <col min="15880" max="15880" width="16.6640625" style="824" customWidth="1"/>
    <col min="15881" max="16128" width="9.33203125" style="824"/>
    <col min="16129" max="16129" width="5.6640625" style="824" customWidth="1"/>
    <col min="16130" max="16130" width="41.1640625" style="824" customWidth="1"/>
    <col min="16131" max="16131" width="17.6640625" style="824" customWidth="1"/>
    <col min="16132" max="16135" width="14" style="824" customWidth="1"/>
    <col min="16136" max="16136" width="16.6640625" style="824" customWidth="1"/>
    <col min="16137" max="16384" width="9.33203125" style="824"/>
  </cols>
  <sheetData>
    <row r="1" spans="1:11" x14ac:dyDescent="0.25">
      <c r="A1" s="1434" t="str">
        <f>CONCATENATE("3. melléklet ",ALAPADATOK!A7," ",ALAPADATOK!B7," ",ALAPADATOK!C7," ",ALAPADATOK!D7," ",ALAPADATOK!E7," ",ALAPADATOK!F7," ",ALAPADATOK!G7," ",ALAPADATOK!H7)</f>
        <v>3. melléklet a 2 / 2021. ( II.15. ) önkormányzati rendelethez</v>
      </c>
      <c r="B1" s="1434"/>
      <c r="C1" s="1434"/>
      <c r="D1" s="1434"/>
      <c r="E1" s="1434"/>
      <c r="F1" s="1434"/>
      <c r="G1" s="1434"/>
      <c r="H1" s="1434"/>
    </row>
    <row r="3" spans="1:11" x14ac:dyDescent="0.25">
      <c r="A3" s="1435" t="s">
        <v>431</v>
      </c>
      <c r="B3" s="1435"/>
      <c r="C3" s="1435"/>
      <c r="D3" s="1435"/>
      <c r="E3" s="1435"/>
      <c r="F3" s="1435"/>
      <c r="G3" s="1435"/>
      <c r="H3" s="1435"/>
    </row>
    <row r="4" spans="1:11" ht="15.75" thickBot="1" x14ac:dyDescent="0.3">
      <c r="A4" s="825"/>
      <c r="B4" s="826"/>
      <c r="C4" s="826"/>
      <c r="D4" s="1436"/>
      <c r="E4" s="1436"/>
      <c r="F4" s="1436"/>
      <c r="G4" s="1437" t="s">
        <v>550</v>
      </c>
      <c r="H4" s="1437"/>
      <c r="I4" s="1048"/>
    </row>
    <row r="5" spans="1:11" ht="25.5" x14ac:dyDescent="0.25">
      <c r="A5" s="1438" t="s">
        <v>17</v>
      </c>
      <c r="B5" s="1440" t="s">
        <v>159</v>
      </c>
      <c r="C5" s="827" t="s">
        <v>866</v>
      </c>
      <c r="D5" s="1440" t="s">
        <v>191</v>
      </c>
      <c r="E5" s="1440"/>
      <c r="F5" s="1440"/>
      <c r="G5" s="1440"/>
      <c r="H5" s="1442" t="s">
        <v>555</v>
      </c>
    </row>
    <row r="6" spans="1:11" ht="15.75" thickBot="1" x14ac:dyDescent="0.3">
      <c r="A6" s="1439"/>
      <c r="B6" s="1441"/>
      <c r="C6" s="1105"/>
      <c r="D6" s="1105">
        <v>2021</v>
      </c>
      <c r="E6" s="1105">
        <v>2022</v>
      </c>
      <c r="F6" s="1105">
        <v>2023</v>
      </c>
      <c r="G6" s="1414">
        <v>2024</v>
      </c>
      <c r="H6" s="1443"/>
    </row>
    <row r="7" spans="1:11" ht="15.75" thickBot="1" x14ac:dyDescent="0.3">
      <c r="A7" s="828" t="s">
        <v>19</v>
      </c>
      <c r="B7" s="829">
        <v>2</v>
      </c>
      <c r="C7" s="830">
        <v>3</v>
      </c>
      <c r="D7" s="830">
        <v>4</v>
      </c>
      <c r="E7" s="830">
        <v>5</v>
      </c>
      <c r="F7" s="830">
        <v>6</v>
      </c>
      <c r="G7" s="831">
        <v>7</v>
      </c>
      <c r="H7" s="831">
        <v>8</v>
      </c>
    </row>
    <row r="8" spans="1:11" ht="26.25" x14ac:dyDescent="0.25">
      <c r="A8" s="832" t="s">
        <v>19</v>
      </c>
      <c r="B8" s="833" t="s">
        <v>867</v>
      </c>
      <c r="C8" s="834">
        <v>0</v>
      </c>
      <c r="D8" s="1049">
        <v>0</v>
      </c>
      <c r="E8" s="1049">
        <v>0</v>
      </c>
      <c r="F8" s="1049">
        <v>0</v>
      </c>
      <c r="G8" s="1049">
        <v>0</v>
      </c>
      <c r="H8" s="1050">
        <f t="shared" ref="H8:H26" si="0">SUM(D8:G8)</f>
        <v>0</v>
      </c>
    </row>
    <row r="9" spans="1:11" ht="39" x14ac:dyDescent="0.25">
      <c r="A9" s="832" t="s">
        <v>20</v>
      </c>
      <c r="B9" s="833" t="s">
        <v>561</v>
      </c>
      <c r="C9" s="834">
        <v>0</v>
      </c>
      <c r="D9" s="1049">
        <v>0</v>
      </c>
      <c r="E9" s="1049">
        <v>0</v>
      </c>
      <c r="F9" s="1049">
        <v>0</v>
      </c>
      <c r="G9" s="1049">
        <v>0</v>
      </c>
      <c r="H9" s="1050">
        <f t="shared" si="0"/>
        <v>0</v>
      </c>
      <c r="K9" s="835"/>
    </row>
    <row r="10" spans="1:11" ht="39" x14ac:dyDescent="0.25">
      <c r="A10" s="832" t="s">
        <v>21</v>
      </c>
      <c r="B10" s="833" t="s">
        <v>562</v>
      </c>
      <c r="C10" s="834">
        <v>5887000</v>
      </c>
      <c r="D10" s="1051">
        <v>1472000</v>
      </c>
      <c r="E10" s="1051">
        <v>1472000</v>
      </c>
      <c r="F10" s="1049">
        <v>1472000</v>
      </c>
      <c r="G10" s="1049">
        <v>1471000</v>
      </c>
      <c r="H10" s="1050">
        <f t="shared" si="0"/>
        <v>5887000</v>
      </c>
      <c r="I10" s="836"/>
      <c r="J10" s="837"/>
      <c r="K10" s="838"/>
    </row>
    <row r="11" spans="1:11" ht="26.25" x14ac:dyDescent="0.25">
      <c r="A11" s="832" t="s">
        <v>22</v>
      </c>
      <c r="B11" s="833" t="s">
        <v>648</v>
      </c>
      <c r="C11" s="834">
        <v>443461</v>
      </c>
      <c r="D11" s="1051">
        <v>443461</v>
      </c>
      <c r="E11" s="1051">
        <v>0</v>
      </c>
      <c r="F11" s="1049">
        <v>0</v>
      </c>
      <c r="G11" s="1049">
        <v>0</v>
      </c>
      <c r="H11" s="1050">
        <f t="shared" si="0"/>
        <v>443461</v>
      </c>
    </row>
    <row r="12" spans="1:11" ht="26.25" x14ac:dyDescent="0.25">
      <c r="A12" s="832" t="s">
        <v>23</v>
      </c>
      <c r="B12" s="833" t="s">
        <v>649</v>
      </c>
      <c r="C12" s="834">
        <v>556539</v>
      </c>
      <c r="D12" s="1051">
        <v>556539</v>
      </c>
      <c r="E12" s="1051">
        <v>0</v>
      </c>
      <c r="F12" s="1049">
        <v>0</v>
      </c>
      <c r="G12" s="1049">
        <v>0</v>
      </c>
      <c r="H12" s="1050">
        <f t="shared" si="0"/>
        <v>556539</v>
      </c>
    </row>
    <row r="13" spans="1:11" ht="26.25" customHeight="1" x14ac:dyDescent="0.25">
      <c r="A13" s="832" t="s">
        <v>24</v>
      </c>
      <c r="B13" s="839" t="s">
        <v>556</v>
      </c>
      <c r="C13" s="840">
        <v>31221155</v>
      </c>
      <c r="D13" s="1049">
        <v>4940000</v>
      </c>
      <c r="E13" s="1049">
        <v>4940000</v>
      </c>
      <c r="F13" s="1049">
        <v>4940000</v>
      </c>
      <c r="G13" s="1049">
        <v>4940000</v>
      </c>
      <c r="H13" s="1050">
        <f t="shared" si="0"/>
        <v>19760000</v>
      </c>
    </row>
    <row r="14" spans="1:11" ht="39" x14ac:dyDescent="0.25">
      <c r="A14" s="832" t="s">
        <v>25</v>
      </c>
      <c r="B14" s="841" t="s">
        <v>563</v>
      </c>
      <c r="C14" s="842">
        <v>2572000</v>
      </c>
      <c r="D14" s="1052">
        <v>1464000</v>
      </c>
      <c r="E14" s="1052">
        <v>1108000</v>
      </c>
      <c r="F14" s="1053">
        <v>0</v>
      </c>
      <c r="G14" s="1053">
        <v>0</v>
      </c>
      <c r="H14" s="1050">
        <f t="shared" si="0"/>
        <v>2572000</v>
      </c>
    </row>
    <row r="15" spans="1:11" ht="26.25" x14ac:dyDescent="0.25">
      <c r="A15" s="832" t="s">
        <v>26</v>
      </c>
      <c r="B15" s="843" t="s">
        <v>650</v>
      </c>
      <c r="C15" s="834">
        <v>1725452</v>
      </c>
      <c r="D15" s="1049">
        <v>984000</v>
      </c>
      <c r="E15" s="1049">
        <v>741452</v>
      </c>
      <c r="F15" s="1049">
        <v>0</v>
      </c>
      <c r="G15" s="1049">
        <v>0</v>
      </c>
      <c r="H15" s="1050">
        <f t="shared" si="0"/>
        <v>1725452</v>
      </c>
    </row>
    <row r="16" spans="1:11" ht="26.25" x14ac:dyDescent="0.25">
      <c r="A16" s="832" t="s">
        <v>27</v>
      </c>
      <c r="B16" s="843" t="s">
        <v>651</v>
      </c>
      <c r="C16" s="834">
        <v>1118946</v>
      </c>
      <c r="D16" s="1049">
        <v>1118946</v>
      </c>
      <c r="E16" s="1049">
        <v>0</v>
      </c>
      <c r="F16" s="1049">
        <v>0</v>
      </c>
      <c r="G16" s="1049">
        <v>0</v>
      </c>
      <c r="H16" s="1050">
        <f t="shared" si="0"/>
        <v>1118946</v>
      </c>
    </row>
    <row r="17" spans="1:8" ht="26.25" x14ac:dyDescent="0.25">
      <c r="A17" s="832" t="s">
        <v>28</v>
      </c>
      <c r="B17" s="843" t="s">
        <v>652</v>
      </c>
      <c r="C17" s="834">
        <v>3281242</v>
      </c>
      <c r="D17" s="1049">
        <v>1270000</v>
      </c>
      <c r="E17" s="1049">
        <v>1270000</v>
      </c>
      <c r="F17" s="1049">
        <v>741242</v>
      </c>
      <c r="G17" s="1049">
        <v>0</v>
      </c>
      <c r="H17" s="1050">
        <f t="shared" si="0"/>
        <v>3281242</v>
      </c>
    </row>
    <row r="18" spans="1:8" ht="26.25" x14ac:dyDescent="0.25">
      <c r="A18" s="832" t="s">
        <v>29</v>
      </c>
      <c r="B18" s="839" t="s">
        <v>653</v>
      </c>
      <c r="C18" s="834">
        <v>7393526</v>
      </c>
      <c r="D18" s="1049">
        <v>1668000</v>
      </c>
      <c r="E18" s="1049">
        <v>1668000</v>
      </c>
      <c r="F18" s="1049">
        <v>1668000</v>
      </c>
      <c r="G18" s="1049">
        <v>1668000</v>
      </c>
      <c r="H18" s="1050">
        <f t="shared" si="0"/>
        <v>6672000</v>
      </c>
    </row>
    <row r="19" spans="1:8" ht="27.75" customHeight="1" x14ac:dyDescent="0.25">
      <c r="A19" s="832" t="s">
        <v>30</v>
      </c>
      <c r="B19" s="839" t="s">
        <v>654</v>
      </c>
      <c r="C19" s="834">
        <v>7208258</v>
      </c>
      <c r="D19" s="1049">
        <v>1834504</v>
      </c>
      <c r="E19" s="1049">
        <v>1834504</v>
      </c>
      <c r="F19" s="1049">
        <v>1834504</v>
      </c>
      <c r="G19" s="1049">
        <v>1704746</v>
      </c>
      <c r="H19" s="1050">
        <f t="shared" si="0"/>
        <v>7208258</v>
      </c>
    </row>
    <row r="20" spans="1:8" ht="27" customHeight="1" x14ac:dyDescent="0.25">
      <c r="A20" s="832" t="s">
        <v>31</v>
      </c>
      <c r="B20" s="839" t="s">
        <v>655</v>
      </c>
      <c r="C20" s="834">
        <v>1848697</v>
      </c>
      <c r="D20" s="1049">
        <v>1848697</v>
      </c>
      <c r="E20" s="1049">
        <v>0</v>
      </c>
      <c r="F20" s="1049">
        <v>0</v>
      </c>
      <c r="G20" s="1049">
        <v>0</v>
      </c>
      <c r="H20" s="1050">
        <f t="shared" si="0"/>
        <v>1848697</v>
      </c>
    </row>
    <row r="21" spans="1:8" ht="27" customHeight="1" x14ac:dyDescent="0.25">
      <c r="A21" s="832" t="s">
        <v>32</v>
      </c>
      <c r="B21" s="839" t="s">
        <v>656</v>
      </c>
      <c r="C21" s="834">
        <v>22222400</v>
      </c>
      <c r="D21" s="1049">
        <v>2777600</v>
      </c>
      <c r="E21" s="1049">
        <v>2777600</v>
      </c>
      <c r="F21" s="1049">
        <v>2777600</v>
      </c>
      <c r="G21" s="1049">
        <v>2777600</v>
      </c>
      <c r="H21" s="1050">
        <f t="shared" si="0"/>
        <v>11110400</v>
      </c>
    </row>
    <row r="22" spans="1:8" ht="26.25" customHeight="1" x14ac:dyDescent="0.25">
      <c r="A22" s="832" t="s">
        <v>33</v>
      </c>
      <c r="B22" s="839" t="s">
        <v>657</v>
      </c>
      <c r="C22" s="834">
        <v>3501644</v>
      </c>
      <c r="D22" s="1049">
        <v>1016000</v>
      </c>
      <c r="E22" s="1049">
        <v>1016000</v>
      </c>
      <c r="F22" s="1049">
        <v>1016000</v>
      </c>
      <c r="G22" s="1049">
        <v>453644</v>
      </c>
      <c r="H22" s="1050">
        <f t="shared" si="0"/>
        <v>3501644</v>
      </c>
    </row>
    <row r="23" spans="1:8" ht="26.25" x14ac:dyDescent="0.25">
      <c r="A23" s="832" t="s">
        <v>34</v>
      </c>
      <c r="B23" s="839" t="s">
        <v>658</v>
      </c>
      <c r="C23" s="834">
        <v>16409597</v>
      </c>
      <c r="D23" s="1049">
        <v>3600000</v>
      </c>
      <c r="E23" s="1049">
        <v>3600000</v>
      </c>
      <c r="F23" s="1049">
        <v>3600000</v>
      </c>
      <c r="G23" s="1049">
        <v>3600000</v>
      </c>
      <c r="H23" s="1050">
        <f t="shared" si="0"/>
        <v>14400000</v>
      </c>
    </row>
    <row r="24" spans="1:8" x14ac:dyDescent="0.25">
      <c r="A24" s="832" t="s">
        <v>35</v>
      </c>
      <c r="B24" s="1415" t="s">
        <v>1034</v>
      </c>
      <c r="C24" s="1125">
        <v>0</v>
      </c>
      <c r="D24" s="1126">
        <v>0</v>
      </c>
      <c r="E24" s="1126">
        <v>2300740</v>
      </c>
      <c r="F24" s="1126">
        <v>2300740</v>
      </c>
      <c r="G24" s="1127">
        <v>2300740</v>
      </c>
      <c r="H24" s="1050">
        <f t="shared" si="0"/>
        <v>6902220</v>
      </c>
    </row>
    <row r="25" spans="1:8" ht="22.5" x14ac:dyDescent="0.25">
      <c r="A25" s="1113" t="s">
        <v>36</v>
      </c>
      <c r="B25" s="1128" t="s">
        <v>1035</v>
      </c>
      <c r="C25" s="1125">
        <v>0</v>
      </c>
      <c r="D25" s="1126">
        <v>0</v>
      </c>
      <c r="E25" s="1126">
        <v>0</v>
      </c>
      <c r="F25" s="1126">
        <v>1568620</v>
      </c>
      <c r="G25" s="1127">
        <v>1568620</v>
      </c>
      <c r="H25" s="1129">
        <f t="shared" si="0"/>
        <v>3137240</v>
      </c>
    </row>
    <row r="26" spans="1:8" ht="15.75" thickBot="1" x14ac:dyDescent="0.3">
      <c r="A26" s="1112" t="s">
        <v>37</v>
      </c>
      <c r="B26" s="1107"/>
      <c r="C26" s="1108"/>
      <c r="D26" s="1109"/>
      <c r="E26" s="1109"/>
      <c r="F26" s="1109"/>
      <c r="G26" s="1110"/>
      <c r="H26" s="1111">
        <f t="shared" si="0"/>
        <v>0</v>
      </c>
    </row>
    <row r="27" spans="1:8" ht="24" customHeight="1" thickBot="1" x14ac:dyDescent="0.3">
      <c r="A27" s="844"/>
      <c r="B27" s="845" t="s">
        <v>160</v>
      </c>
      <c r="C27" s="846">
        <f>SUM(C8:C26)</f>
        <v>105389917</v>
      </c>
      <c r="D27" s="846">
        <f>SUM(D8:D26)</f>
        <v>24993747</v>
      </c>
      <c r="E27" s="846">
        <f>SUM(E8:E26)</f>
        <v>22728296</v>
      </c>
      <c r="F27" s="846">
        <f>SUM(F8:F25)</f>
        <v>21918706</v>
      </c>
      <c r="G27" s="846">
        <f>SUM(G8:G25)</f>
        <v>20484350</v>
      </c>
      <c r="H27" s="849">
        <f>SUM(H8:H25)</f>
        <v>90125099</v>
      </c>
    </row>
    <row r="29" spans="1:8" x14ac:dyDescent="0.25">
      <c r="B29" s="847" t="s">
        <v>659</v>
      </c>
    </row>
    <row r="31" spans="1:8" x14ac:dyDescent="0.25">
      <c r="B31" s="848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G17" sqref="G17"/>
    </sheetView>
  </sheetViews>
  <sheetFormatPr defaultRowHeight="15" x14ac:dyDescent="0.25"/>
  <cols>
    <col min="1" max="1" width="5.6640625" style="824" customWidth="1"/>
    <col min="2" max="2" width="68.6640625" style="824" customWidth="1"/>
    <col min="3" max="3" width="19.5" style="824" customWidth="1"/>
    <col min="4" max="4" width="11.33203125" style="824" customWidth="1"/>
    <col min="5" max="16384" width="9.33203125" style="824"/>
  </cols>
  <sheetData>
    <row r="1" spans="1:4" x14ac:dyDescent="0.25">
      <c r="A1" s="1434" t="str">
        <f>CONCATENATE("4. melléklet ",ALAPADATOK!A7," ",ALAPADATOK!B7," ",ALAPADATOK!C7," ",ALAPADATOK!D7," ",ALAPADATOK!E7," ",ALAPADATOK!F7," ",ALAPADATOK!G7," ",ALAPADATOK!H7)</f>
        <v>4. melléklet a 2 / 2021. ( II.15. ) önkormányzati rendelethez</v>
      </c>
      <c r="B1" s="1434"/>
      <c r="C1" s="1434"/>
    </row>
    <row r="3" spans="1:4" ht="33" customHeight="1" x14ac:dyDescent="0.25">
      <c r="A3" s="1435" t="s">
        <v>571</v>
      </c>
      <c r="B3" s="1435"/>
      <c r="C3" s="1435"/>
    </row>
    <row r="4" spans="1:4" ht="15.95" customHeight="1" thickBot="1" x14ac:dyDescent="0.3">
      <c r="A4" s="825"/>
      <c r="B4" s="825"/>
      <c r="C4" s="65" t="s">
        <v>540</v>
      </c>
      <c r="D4" s="503"/>
    </row>
    <row r="5" spans="1:4" ht="26.25" customHeight="1" thickBot="1" x14ac:dyDescent="0.3">
      <c r="A5" s="66" t="s">
        <v>17</v>
      </c>
      <c r="B5" s="67" t="s">
        <v>572</v>
      </c>
      <c r="C5" s="68" t="s">
        <v>851</v>
      </c>
    </row>
    <row r="6" spans="1:4" ht="15.75" thickBot="1" x14ac:dyDescent="0.3">
      <c r="A6" s="504">
        <v>1</v>
      </c>
      <c r="B6" s="505">
        <v>2</v>
      </c>
      <c r="C6" s="506">
        <v>3</v>
      </c>
    </row>
    <row r="7" spans="1:4" x14ac:dyDescent="0.25">
      <c r="A7" s="69" t="s">
        <v>19</v>
      </c>
      <c r="B7" s="1263" t="s">
        <v>823</v>
      </c>
      <c r="C7" s="676">
        <v>385080000</v>
      </c>
    </row>
    <row r="8" spans="1:4" ht="24.75" x14ac:dyDescent="0.25">
      <c r="A8" s="70" t="s">
        <v>20</v>
      </c>
      <c r="B8" s="507" t="s">
        <v>573</v>
      </c>
      <c r="C8" s="508">
        <v>3743473</v>
      </c>
    </row>
    <row r="9" spans="1:4" x14ac:dyDescent="0.25">
      <c r="A9" s="70" t="s">
        <v>21</v>
      </c>
      <c r="B9" s="509" t="s">
        <v>574</v>
      </c>
      <c r="C9" s="508"/>
    </row>
    <row r="10" spans="1:4" ht="24.75" x14ac:dyDescent="0.25">
      <c r="A10" s="70" t="s">
        <v>22</v>
      </c>
      <c r="B10" s="509" t="s">
        <v>575</v>
      </c>
      <c r="C10" s="508">
        <v>63000000</v>
      </c>
    </row>
    <row r="11" spans="1:4" x14ac:dyDescent="0.25">
      <c r="A11" s="70" t="s">
        <v>23</v>
      </c>
      <c r="B11" s="509" t="s">
        <v>645</v>
      </c>
      <c r="C11" s="1264">
        <v>13520000</v>
      </c>
    </row>
    <row r="12" spans="1:4" ht="15.75" thickBot="1" x14ac:dyDescent="0.3">
      <c r="A12" s="510" t="s">
        <v>24</v>
      </c>
      <c r="B12" s="511" t="s">
        <v>576</v>
      </c>
      <c r="C12" s="512"/>
    </row>
    <row r="13" spans="1:4" ht="15.75" thickBot="1" x14ac:dyDescent="0.3">
      <c r="A13" s="1444" t="s">
        <v>577</v>
      </c>
      <c r="B13" s="1445"/>
      <c r="C13" s="513">
        <f>SUM(C7:C12)</f>
        <v>465343473</v>
      </c>
    </row>
    <row r="14" spans="1:4" ht="23.25" customHeight="1" x14ac:dyDescent="0.25">
      <c r="A14" s="1446" t="s">
        <v>578</v>
      </c>
      <c r="B14" s="1446"/>
      <c r="C14" s="1446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824" customWidth="1"/>
    <col min="2" max="2" width="66.83203125" style="824" customWidth="1"/>
    <col min="3" max="3" width="27" style="824" customWidth="1"/>
    <col min="4" max="16384" width="9.33203125" style="824"/>
  </cols>
  <sheetData>
    <row r="1" spans="1:5" x14ac:dyDescent="0.25">
      <c r="A1" s="1434" t="str">
        <f>CONCATENATE("5. melléklet ",ALAPADATOK!A7," ",ALAPADATOK!B7," ",ALAPADATOK!C7," ",ALAPADATOK!D7," ",ALAPADATOK!E7," ",ALAPADATOK!F7," ",ALAPADATOK!G7," ",ALAPADATOK!H7)</f>
        <v>5. melléklet a 2 / 2021. ( II.15. ) önkormányzati rendelethez</v>
      </c>
      <c r="B1" s="1434"/>
      <c r="C1" s="1434"/>
    </row>
    <row r="3" spans="1:5" ht="33" customHeight="1" x14ac:dyDescent="0.25">
      <c r="A3" s="1435" t="s">
        <v>854</v>
      </c>
      <c r="B3" s="1435"/>
      <c r="C3" s="1435"/>
    </row>
    <row r="4" spans="1:5" ht="15.95" customHeight="1" thickBot="1" x14ac:dyDescent="0.3">
      <c r="A4" s="825"/>
      <c r="B4" s="825"/>
      <c r="C4" s="65" t="s">
        <v>540</v>
      </c>
      <c r="D4" s="64"/>
    </row>
    <row r="5" spans="1:5" ht="26.25" customHeight="1" thickBot="1" x14ac:dyDescent="0.3">
      <c r="A5" s="593" t="s">
        <v>17</v>
      </c>
      <c r="B5" s="594" t="s">
        <v>161</v>
      </c>
      <c r="C5" s="595" t="s">
        <v>166</v>
      </c>
    </row>
    <row r="6" spans="1:5" ht="15.75" thickBot="1" x14ac:dyDescent="0.3">
      <c r="A6" s="596">
        <v>1</v>
      </c>
      <c r="B6" s="597">
        <v>2</v>
      </c>
      <c r="C6" s="598">
        <v>3</v>
      </c>
    </row>
    <row r="7" spans="1:5" x14ac:dyDescent="0.25">
      <c r="A7" s="69" t="s">
        <v>19</v>
      </c>
      <c r="B7" s="1128" t="s">
        <v>1033</v>
      </c>
      <c r="C7" s="1406">
        <v>11503705</v>
      </c>
      <c r="D7" s="1405"/>
      <c r="E7" s="1405"/>
    </row>
    <row r="8" spans="1:5" x14ac:dyDescent="0.25">
      <c r="A8" s="70" t="s">
        <v>20</v>
      </c>
      <c r="B8" s="1128" t="s">
        <v>1036</v>
      </c>
      <c r="C8" s="601">
        <v>7058824</v>
      </c>
    </row>
    <row r="9" spans="1:5" x14ac:dyDescent="0.25">
      <c r="A9" s="677" t="s">
        <v>21</v>
      </c>
      <c r="B9" s="599"/>
      <c r="C9" s="601"/>
    </row>
    <row r="10" spans="1:5" x14ac:dyDescent="0.25">
      <c r="A10" s="70" t="s">
        <v>22</v>
      </c>
      <c r="B10" s="1115"/>
      <c r="C10" s="1116"/>
    </row>
    <row r="11" spans="1:5" x14ac:dyDescent="0.25">
      <c r="A11" s="70" t="s">
        <v>23</v>
      </c>
      <c r="B11" s="1114"/>
      <c r="C11" s="1117"/>
    </row>
    <row r="12" spans="1:5" x14ac:dyDescent="0.25">
      <c r="A12" s="677" t="s">
        <v>24</v>
      </c>
      <c r="B12" s="599"/>
      <c r="C12" s="601"/>
    </row>
    <row r="13" spans="1:5" x14ac:dyDescent="0.25">
      <c r="A13" s="677" t="s">
        <v>25</v>
      </c>
      <c r="B13" s="600"/>
      <c r="C13" s="602"/>
    </row>
    <row r="14" spans="1:5" x14ac:dyDescent="0.25">
      <c r="A14" s="677" t="s">
        <v>26</v>
      </c>
      <c r="B14" s="603"/>
      <c r="C14" s="602"/>
    </row>
    <row r="15" spans="1:5" s="605" customFormat="1" thickBot="1" x14ac:dyDescent="0.25">
      <c r="A15" s="677" t="s">
        <v>27</v>
      </c>
      <c r="B15" s="604"/>
      <c r="C15" s="601"/>
    </row>
    <row r="16" spans="1:5" s="605" customFormat="1" ht="17.25" customHeight="1" thickBot="1" x14ac:dyDescent="0.25">
      <c r="A16" s="606" t="s">
        <v>28</v>
      </c>
      <c r="B16" s="607" t="s">
        <v>162</v>
      </c>
      <c r="C16" s="608">
        <f>SUM(C7:C15)</f>
        <v>18562529</v>
      </c>
    </row>
    <row r="18" spans="2:2" x14ac:dyDescent="0.25">
      <c r="B18" s="275" t="s">
        <v>824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2"/>
  <sheetViews>
    <sheetView view="pageBreakPreview" zoomScaleNormal="100" zoomScaleSheetLayoutView="100" workbookViewId="0">
      <selection activeCell="E48" sqref="E48"/>
    </sheetView>
  </sheetViews>
  <sheetFormatPr defaultColWidth="9.33203125" defaultRowHeight="12.75" x14ac:dyDescent="0.2"/>
  <cols>
    <col min="1" max="1" width="61.33203125" style="502" customWidth="1"/>
    <col min="2" max="2" width="15.6640625" style="747" customWidth="1"/>
    <col min="3" max="3" width="16.33203125" style="747" customWidth="1"/>
    <col min="4" max="5" width="18" style="747" customWidth="1"/>
    <col min="6" max="6" width="16.6640625" style="747" customWidth="1"/>
    <col min="7" max="7" width="18.83203125" style="493" customWidth="1"/>
    <col min="8" max="9" width="12.83203125" style="904" customWidth="1"/>
    <col min="10" max="10" width="13.83203125" style="904" customWidth="1"/>
    <col min="11" max="11" width="12.6640625" style="904" bestFit="1" customWidth="1"/>
    <col min="12" max="12" width="12.6640625" style="904" customWidth="1"/>
    <col min="13" max="13" width="11.1640625" style="904" bestFit="1" customWidth="1"/>
    <col min="14" max="16384" width="9.33203125" style="904"/>
  </cols>
  <sheetData>
    <row r="1" spans="1:8" x14ac:dyDescent="0.2">
      <c r="A1" s="1447" t="str">
        <f>CONCATENATE("6. melléklet"," ",ALAPADATOK!A7," ",ALAPADATOK!B7," ",ALAPADATOK!C7," ",ALAPADATOK!D7," ",ALAPADATOK!E7," ",ALAPADATOK!F7," ",ALAPADATOK!G7," ",ALAPADATOK!H7)</f>
        <v>6. melléklet a 2 / 2021. ( II.15. ) önkormányzati rendelethez</v>
      </c>
      <c r="B1" s="1447"/>
      <c r="C1" s="1447"/>
      <c r="D1" s="1447"/>
      <c r="E1" s="1447"/>
      <c r="F1" s="1447"/>
      <c r="G1" s="1447"/>
    </row>
    <row r="3" spans="1:8" ht="25.5" customHeight="1" x14ac:dyDescent="0.2">
      <c r="A3" s="1448" t="s">
        <v>5</v>
      </c>
      <c r="B3" s="1448"/>
      <c r="C3" s="1448"/>
      <c r="D3" s="1448"/>
      <c r="E3" s="1448"/>
      <c r="F3" s="1448"/>
      <c r="G3" s="1448"/>
    </row>
    <row r="4" spans="1:8" ht="22.5" customHeight="1" thickBot="1" x14ac:dyDescent="0.3">
      <c r="A4" s="492"/>
      <c r="B4" s="493"/>
      <c r="C4" s="493"/>
      <c r="D4" s="493"/>
      <c r="E4" s="493"/>
      <c r="F4" s="493"/>
      <c r="G4" s="494" t="s">
        <v>542</v>
      </c>
    </row>
    <row r="5" spans="1:8" s="739" customFormat="1" ht="44.25" customHeight="1" thickBot="1" x14ac:dyDescent="0.25">
      <c r="A5" s="1238" t="s">
        <v>65</v>
      </c>
      <c r="B5" s="495" t="s">
        <v>66</v>
      </c>
      <c r="C5" s="496" t="s">
        <v>67</v>
      </c>
      <c r="D5" s="496" t="s">
        <v>872</v>
      </c>
      <c r="E5" s="496" t="s">
        <v>855</v>
      </c>
      <c r="F5" s="496" t="s">
        <v>851</v>
      </c>
      <c r="G5" s="497" t="s">
        <v>856</v>
      </c>
      <c r="H5" s="498"/>
    </row>
    <row r="6" spans="1:8" s="806" customFormat="1" ht="12" customHeight="1" thickBot="1" x14ac:dyDescent="0.25">
      <c r="A6" s="1239">
        <v>1</v>
      </c>
      <c r="B6" s="499">
        <v>2</v>
      </c>
      <c r="C6" s="500">
        <v>3</v>
      </c>
      <c r="D6" s="500">
        <v>4</v>
      </c>
      <c r="E6" s="500">
        <v>5</v>
      </c>
      <c r="F6" s="500">
        <v>6</v>
      </c>
      <c r="G6" s="501" t="s">
        <v>842</v>
      </c>
    </row>
    <row r="7" spans="1:8" s="806" customFormat="1" ht="12" customHeight="1" thickBot="1" x14ac:dyDescent="0.25">
      <c r="A7" s="1237" t="s">
        <v>737</v>
      </c>
      <c r="B7" s="1240">
        <f>SUM(B8:B26)</f>
        <v>626711105</v>
      </c>
      <c r="C7" s="866"/>
      <c r="D7" s="867">
        <f>SUM(D8:D25)</f>
        <v>68659507</v>
      </c>
      <c r="E7" s="867">
        <f>SUM(E8:E26)</f>
        <v>22055853</v>
      </c>
      <c r="F7" s="867">
        <f>SUM(F8:F26)</f>
        <v>535995745</v>
      </c>
      <c r="G7" s="868"/>
    </row>
    <row r="8" spans="1:8" s="749" customFormat="1" ht="15.95" customHeight="1" x14ac:dyDescent="0.2">
      <c r="A8" s="1228" t="s">
        <v>732</v>
      </c>
      <c r="B8" s="1248">
        <v>2869994</v>
      </c>
      <c r="C8" s="1249">
        <v>2021</v>
      </c>
      <c r="D8" s="1250"/>
      <c r="E8" s="1250"/>
      <c r="F8" s="1250">
        <v>2869994</v>
      </c>
      <c r="G8" s="1251">
        <f t="shared" ref="G8:G43" si="0">B8-D8-F8-E8</f>
        <v>0</v>
      </c>
    </row>
    <row r="9" spans="1:8" s="747" customFormat="1" ht="15.95" customHeight="1" x14ac:dyDescent="0.2">
      <c r="A9" s="814" t="s">
        <v>733</v>
      </c>
      <c r="B9" s="852">
        <v>267489554</v>
      </c>
      <c r="C9" s="853" t="s">
        <v>857</v>
      </c>
      <c r="D9" s="854">
        <f>13586200-204600</f>
        <v>13381600</v>
      </c>
      <c r="E9" s="854"/>
      <c r="F9" s="854">
        <v>254107954</v>
      </c>
      <c r="G9" s="855">
        <f t="shared" si="0"/>
        <v>0</v>
      </c>
    </row>
    <row r="10" spans="1:8" s="746" customFormat="1" ht="25.5" x14ac:dyDescent="0.2">
      <c r="A10" s="814" t="s">
        <v>734</v>
      </c>
      <c r="B10" s="1130">
        <f>12274550-2533650</f>
        <v>9740900</v>
      </c>
      <c r="C10" s="1131" t="s">
        <v>857</v>
      </c>
      <c r="D10" s="1132">
        <v>5715000</v>
      </c>
      <c r="E10" s="1132"/>
      <c r="F10" s="1132">
        <v>4025900</v>
      </c>
      <c r="G10" s="855">
        <f t="shared" si="0"/>
        <v>0</v>
      </c>
    </row>
    <row r="11" spans="1:8" s="747" customFormat="1" ht="18.75" customHeight="1" x14ac:dyDescent="0.2">
      <c r="A11" s="1241" t="s">
        <v>630</v>
      </c>
      <c r="B11" s="856">
        <v>17562217</v>
      </c>
      <c r="C11" s="817" t="s">
        <v>857</v>
      </c>
      <c r="D11" s="850">
        <v>17312217</v>
      </c>
      <c r="E11" s="850"/>
      <c r="F11" s="850">
        <v>250000</v>
      </c>
      <c r="G11" s="820">
        <f t="shared" si="0"/>
        <v>0</v>
      </c>
    </row>
    <row r="12" spans="1:8" s="747" customFormat="1" ht="28.5" customHeight="1" x14ac:dyDescent="0.2">
      <c r="A12" s="1242" t="s">
        <v>631</v>
      </c>
      <c r="B12" s="1016">
        <v>15969872</v>
      </c>
      <c r="C12" s="817" t="s">
        <v>666</v>
      </c>
      <c r="D12" s="850">
        <v>15874872</v>
      </c>
      <c r="E12" s="850"/>
      <c r="F12" s="850">
        <v>95000</v>
      </c>
      <c r="G12" s="820">
        <f t="shared" si="0"/>
        <v>0</v>
      </c>
    </row>
    <row r="13" spans="1:8" s="747" customFormat="1" ht="15.95" customHeight="1" x14ac:dyDescent="0.2">
      <c r="A13" s="1243" t="s">
        <v>632</v>
      </c>
      <c r="B13" s="856">
        <v>359410</v>
      </c>
      <c r="C13" s="817">
        <v>2021</v>
      </c>
      <c r="D13" s="850"/>
      <c r="E13" s="850"/>
      <c r="F13" s="850">
        <v>359410</v>
      </c>
      <c r="G13" s="820">
        <f t="shared" si="0"/>
        <v>0</v>
      </c>
    </row>
    <row r="14" spans="1:8" s="747" customFormat="1" ht="15.95" customHeight="1" x14ac:dyDescent="0.2">
      <c r="A14" s="1243" t="s">
        <v>633</v>
      </c>
      <c r="B14" s="856">
        <v>381000</v>
      </c>
      <c r="C14" s="817">
        <v>2021</v>
      </c>
      <c r="D14" s="850"/>
      <c r="E14" s="850"/>
      <c r="F14" s="850">
        <v>381000</v>
      </c>
      <c r="G14" s="857">
        <f t="shared" si="0"/>
        <v>0</v>
      </c>
    </row>
    <row r="15" spans="1:8" s="747" customFormat="1" ht="15.95" customHeight="1" x14ac:dyDescent="0.2">
      <c r="A15" s="1244" t="s">
        <v>634</v>
      </c>
      <c r="B15" s="1231">
        <v>2540000</v>
      </c>
      <c r="C15" s="1229">
        <v>2021</v>
      </c>
      <c r="D15" s="1230"/>
      <c r="E15" s="1230"/>
      <c r="F15" s="1230">
        <v>2540000</v>
      </c>
      <c r="G15" s="1232">
        <f t="shared" si="0"/>
        <v>0</v>
      </c>
    </row>
    <row r="16" spans="1:8" s="747" customFormat="1" ht="31.5" customHeight="1" x14ac:dyDescent="0.2">
      <c r="A16" s="1242" t="s">
        <v>974</v>
      </c>
      <c r="B16" s="856">
        <v>100000</v>
      </c>
      <c r="C16" s="817">
        <v>2021</v>
      </c>
      <c r="D16" s="850"/>
      <c r="E16" s="850"/>
      <c r="F16" s="850">
        <v>100000</v>
      </c>
      <c r="G16" s="857">
        <f t="shared" si="0"/>
        <v>0</v>
      </c>
    </row>
    <row r="17" spans="1:7" s="746" customFormat="1" ht="15.75" customHeight="1" x14ac:dyDescent="0.2">
      <c r="A17" s="1245" t="s">
        <v>635</v>
      </c>
      <c r="B17" s="856">
        <v>166015</v>
      </c>
      <c r="C17" s="817">
        <v>2021</v>
      </c>
      <c r="D17" s="850"/>
      <c r="E17" s="850"/>
      <c r="F17" s="850">
        <v>166015</v>
      </c>
      <c r="G17" s="857">
        <f t="shared" si="0"/>
        <v>0</v>
      </c>
    </row>
    <row r="18" spans="1:7" s="747" customFormat="1" ht="25.5" x14ac:dyDescent="0.2">
      <c r="A18" s="1243" t="s">
        <v>667</v>
      </c>
      <c r="B18" s="856">
        <v>6704583</v>
      </c>
      <c r="C18" s="817" t="s">
        <v>666</v>
      </c>
      <c r="D18" s="850">
        <f>1295700+3842258</f>
        <v>5137958</v>
      </c>
      <c r="E18" s="850"/>
      <c r="F18" s="850">
        <v>1566625</v>
      </c>
      <c r="G18" s="857">
        <f t="shared" si="0"/>
        <v>0</v>
      </c>
    </row>
    <row r="19" spans="1:7" s="748" customFormat="1" ht="29.25" customHeight="1" x14ac:dyDescent="0.2">
      <c r="A19" s="1246" t="s">
        <v>975</v>
      </c>
      <c r="B19" s="858">
        <v>127000</v>
      </c>
      <c r="C19" s="859">
        <v>2021</v>
      </c>
      <c r="D19" s="860"/>
      <c r="E19" s="860"/>
      <c r="F19" s="860">
        <v>127000</v>
      </c>
      <c r="G19" s="815">
        <f t="shared" si="0"/>
        <v>0</v>
      </c>
    </row>
    <row r="20" spans="1:7" s="748" customFormat="1" ht="29.25" customHeight="1" x14ac:dyDescent="0.2">
      <c r="A20" s="1247" t="s">
        <v>845</v>
      </c>
      <c r="B20" s="1233">
        <v>1369240</v>
      </c>
      <c r="C20" s="1234">
        <v>2021</v>
      </c>
      <c r="D20" s="1235">
        <v>455240</v>
      </c>
      <c r="E20" s="1235"/>
      <c r="F20" s="1235">
        <v>914000</v>
      </c>
      <c r="G20" s="1236">
        <f t="shared" si="0"/>
        <v>0</v>
      </c>
    </row>
    <row r="21" spans="1:7" s="746" customFormat="1" x14ac:dyDescent="0.2">
      <c r="A21" s="1243" t="s">
        <v>646</v>
      </c>
      <c r="B21" s="1016">
        <v>355600</v>
      </c>
      <c r="C21" s="817">
        <v>2021</v>
      </c>
      <c r="D21" s="850"/>
      <c r="E21" s="850"/>
      <c r="F21" s="850">
        <v>355600</v>
      </c>
      <c r="G21" s="857">
        <f t="shared" si="0"/>
        <v>0</v>
      </c>
    </row>
    <row r="22" spans="1:7" s="749" customFormat="1" ht="15.75" customHeight="1" x14ac:dyDescent="0.2">
      <c r="A22" s="1243" t="s">
        <v>735</v>
      </c>
      <c r="B22" s="1016">
        <v>30000000</v>
      </c>
      <c r="C22" s="817" t="s">
        <v>857</v>
      </c>
      <c r="D22" s="850">
        <v>2679620</v>
      </c>
      <c r="E22" s="850"/>
      <c r="F22" s="850">
        <v>27320380</v>
      </c>
      <c r="G22" s="857">
        <f t="shared" si="0"/>
        <v>0</v>
      </c>
    </row>
    <row r="23" spans="1:7" s="748" customFormat="1" ht="15.75" customHeight="1" x14ac:dyDescent="0.2">
      <c r="A23" s="1243" t="s">
        <v>736</v>
      </c>
      <c r="B23" s="1118">
        <v>162236150</v>
      </c>
      <c r="C23" s="859" t="s">
        <v>857</v>
      </c>
      <c r="D23" s="860">
        <v>8103000</v>
      </c>
      <c r="E23" s="860">
        <f>10800000+11255853</f>
        <v>22055853</v>
      </c>
      <c r="F23" s="860">
        <v>132077297</v>
      </c>
      <c r="G23" s="861">
        <f t="shared" si="0"/>
        <v>0</v>
      </c>
    </row>
    <row r="24" spans="1:7" s="751" customFormat="1" ht="15.75" customHeight="1" x14ac:dyDescent="0.2">
      <c r="A24" s="1242" t="s">
        <v>973</v>
      </c>
      <c r="B24" s="1016">
        <v>97575000</v>
      </c>
      <c r="C24" s="817" t="s">
        <v>859</v>
      </c>
      <c r="D24" s="850"/>
      <c r="E24" s="850"/>
      <c r="F24" s="850">
        <v>97575000</v>
      </c>
      <c r="G24" s="857">
        <f t="shared" si="0"/>
        <v>0</v>
      </c>
    </row>
    <row r="25" spans="1:7" s="751" customFormat="1" ht="15.75" customHeight="1" x14ac:dyDescent="0.2">
      <c r="A25" s="1243" t="s">
        <v>835</v>
      </c>
      <c r="B25" s="1016">
        <v>1017270</v>
      </c>
      <c r="C25" s="817">
        <v>2021</v>
      </c>
      <c r="D25" s="850"/>
      <c r="E25" s="850"/>
      <c r="F25" s="850">
        <v>1017270</v>
      </c>
      <c r="G25" s="857">
        <f t="shared" si="0"/>
        <v>0</v>
      </c>
    </row>
    <row r="26" spans="1:7" s="751" customFormat="1" ht="15.75" customHeight="1" thickBot="1" x14ac:dyDescent="0.25">
      <c r="A26" s="1256" t="s">
        <v>841</v>
      </c>
      <c r="B26" s="1118">
        <v>10147300</v>
      </c>
      <c r="C26" s="859" t="s">
        <v>858</v>
      </c>
      <c r="D26" s="860"/>
      <c r="E26" s="860"/>
      <c r="F26" s="860">
        <v>10147300</v>
      </c>
      <c r="G26" s="861">
        <f t="shared" si="0"/>
        <v>0</v>
      </c>
    </row>
    <row r="27" spans="1:7" s="747" customFormat="1" ht="13.5" thickBot="1" x14ac:dyDescent="0.25">
      <c r="A27" s="1257" t="s">
        <v>785</v>
      </c>
      <c r="B27" s="1258">
        <f>SUM(B28:B30)</f>
        <v>2765199</v>
      </c>
      <c r="C27" s="1259"/>
      <c r="D27" s="1260"/>
      <c r="E27" s="1260"/>
      <c r="F27" s="1260">
        <f>SUM(F28:F30)</f>
        <v>2765199</v>
      </c>
      <c r="G27" s="1261">
        <f t="shared" si="0"/>
        <v>0</v>
      </c>
    </row>
    <row r="28" spans="1:7" s="746" customFormat="1" x14ac:dyDescent="0.2">
      <c r="A28" s="1252" t="s">
        <v>628</v>
      </c>
      <c r="B28" s="1253">
        <v>1009999</v>
      </c>
      <c r="C28" s="1229">
        <v>2021</v>
      </c>
      <c r="D28" s="1254"/>
      <c r="E28" s="1254"/>
      <c r="F28" s="1254">
        <v>1009999</v>
      </c>
      <c r="G28" s="1255">
        <f t="shared" si="0"/>
        <v>0</v>
      </c>
    </row>
    <row r="29" spans="1:7" s="747" customFormat="1" x14ac:dyDescent="0.2">
      <c r="A29" s="816" t="s">
        <v>783</v>
      </c>
      <c r="B29" s="852">
        <v>967100</v>
      </c>
      <c r="C29" s="817">
        <v>2021</v>
      </c>
      <c r="D29" s="850"/>
      <c r="E29" s="850"/>
      <c r="F29" s="850">
        <v>967100</v>
      </c>
      <c r="G29" s="862">
        <f t="shared" si="0"/>
        <v>0</v>
      </c>
    </row>
    <row r="30" spans="1:7" s="747" customFormat="1" ht="27" customHeight="1" thickBot="1" x14ac:dyDescent="0.25">
      <c r="A30" s="1262" t="s">
        <v>976</v>
      </c>
      <c r="B30" s="863">
        <v>788100</v>
      </c>
      <c r="C30" s="822">
        <v>2021</v>
      </c>
      <c r="D30" s="864"/>
      <c r="E30" s="864"/>
      <c r="F30" s="864">
        <v>788100</v>
      </c>
      <c r="G30" s="865">
        <f t="shared" si="0"/>
        <v>0</v>
      </c>
    </row>
    <row r="31" spans="1:7" s="748" customFormat="1" ht="15.75" customHeight="1" thickBot="1" x14ac:dyDescent="0.25">
      <c r="A31" s="1371" t="s">
        <v>786</v>
      </c>
      <c r="B31" s="1372">
        <f>SUM(B32:B32)</f>
        <v>0</v>
      </c>
      <c r="C31" s="1373"/>
      <c r="D31" s="1374"/>
      <c r="E31" s="1375"/>
      <c r="F31" s="1372">
        <f>SUM(F32:F32)</f>
        <v>0</v>
      </c>
      <c r="G31" s="1376">
        <f t="shared" si="0"/>
        <v>0</v>
      </c>
    </row>
    <row r="32" spans="1:7" s="748" customFormat="1" ht="13.5" thickBot="1" x14ac:dyDescent="0.25">
      <c r="A32" s="1377"/>
      <c r="B32" s="1359"/>
      <c r="C32" s="1360"/>
      <c r="D32" s="1361"/>
      <c r="E32" s="1361"/>
      <c r="F32" s="1361"/>
      <c r="G32" s="1378">
        <f t="shared" si="0"/>
        <v>0</v>
      </c>
    </row>
    <row r="33" spans="1:7" s="749" customFormat="1" ht="15.75" customHeight="1" thickBot="1" x14ac:dyDescent="0.25">
      <c r="A33" s="1371" t="s">
        <v>787</v>
      </c>
      <c r="B33" s="1372">
        <f>SUM(B34:B34)</f>
        <v>800000</v>
      </c>
      <c r="C33" s="1379"/>
      <c r="D33" s="1372">
        <f>SUM(D34:D34)</f>
        <v>0</v>
      </c>
      <c r="E33" s="1372"/>
      <c r="F33" s="1372">
        <f>SUM(F34:F34)</f>
        <v>800000</v>
      </c>
      <c r="G33" s="781">
        <f t="shared" si="0"/>
        <v>0</v>
      </c>
    </row>
    <row r="34" spans="1:7" s="748" customFormat="1" ht="15.75" customHeight="1" thickBot="1" x14ac:dyDescent="0.25">
      <c r="A34" s="1370" t="s">
        <v>746</v>
      </c>
      <c r="B34" s="1350">
        <v>800000</v>
      </c>
      <c r="C34" s="1351">
        <v>2021</v>
      </c>
      <c r="D34" s="1352"/>
      <c r="E34" s="1352"/>
      <c r="F34" s="1352">
        <v>800000</v>
      </c>
      <c r="G34" s="1363">
        <f t="shared" si="0"/>
        <v>0</v>
      </c>
    </row>
    <row r="35" spans="1:7" s="747" customFormat="1" ht="15.75" customHeight="1" thickBot="1" x14ac:dyDescent="0.25">
      <c r="A35" s="1380" t="s">
        <v>788</v>
      </c>
      <c r="B35" s="1372">
        <f>SUM(B36:B41)</f>
        <v>58071807</v>
      </c>
      <c r="C35" s="1379"/>
      <c r="D35" s="1372">
        <f>SUM(D36:D41)</f>
        <v>0</v>
      </c>
      <c r="E35" s="1372"/>
      <c r="F35" s="1372">
        <f>SUM(F36:F41)</f>
        <v>58071807</v>
      </c>
      <c r="G35" s="781">
        <f t="shared" si="0"/>
        <v>0</v>
      </c>
    </row>
    <row r="36" spans="1:7" s="747" customFormat="1" ht="15.75" customHeight="1" x14ac:dyDescent="0.2">
      <c r="A36" s="1349" t="s">
        <v>748</v>
      </c>
      <c r="B36" s="1350">
        <v>2828812</v>
      </c>
      <c r="C36" s="1351">
        <v>2021</v>
      </c>
      <c r="D36" s="1352"/>
      <c r="E36" s="1352"/>
      <c r="F36" s="1352">
        <v>2828812</v>
      </c>
      <c r="G36" s="1362">
        <f t="shared" si="0"/>
        <v>0</v>
      </c>
    </row>
    <row r="37" spans="1:7" s="778" customFormat="1" ht="15.75" customHeight="1" x14ac:dyDescent="0.2">
      <c r="A37" s="1349" t="s">
        <v>1006</v>
      </c>
      <c r="B37" s="1350">
        <v>311150</v>
      </c>
      <c r="C37" s="1351">
        <v>2021</v>
      </c>
      <c r="D37" s="1352"/>
      <c r="E37" s="1352"/>
      <c r="F37" s="1352">
        <v>311150</v>
      </c>
      <c r="G37" s="1363">
        <f t="shared" si="0"/>
        <v>0</v>
      </c>
    </row>
    <row r="38" spans="1:7" s="749" customFormat="1" ht="15.75" customHeight="1" x14ac:dyDescent="0.2">
      <c r="A38" s="1349" t="s">
        <v>1007</v>
      </c>
      <c r="B38" s="1350">
        <v>47083234</v>
      </c>
      <c r="C38" s="1351">
        <v>2021</v>
      </c>
      <c r="D38" s="1352"/>
      <c r="E38" s="1352"/>
      <c r="F38" s="1352">
        <v>47083234</v>
      </c>
      <c r="G38" s="1363">
        <f t="shared" si="0"/>
        <v>0</v>
      </c>
    </row>
    <row r="39" spans="1:7" s="749" customFormat="1" ht="15.75" customHeight="1" x14ac:dyDescent="0.2">
      <c r="A39" s="1353" t="s">
        <v>1008</v>
      </c>
      <c r="B39" s="1354">
        <v>2197788</v>
      </c>
      <c r="C39" s="1355">
        <v>2021</v>
      </c>
      <c r="D39" s="1356"/>
      <c r="E39" s="1356"/>
      <c r="F39" s="1356">
        <v>2197788</v>
      </c>
      <c r="G39" s="1363">
        <f t="shared" si="0"/>
        <v>0</v>
      </c>
    </row>
    <row r="40" spans="1:7" s="749" customFormat="1" ht="15.75" customHeight="1" x14ac:dyDescent="0.2">
      <c r="A40" s="1353" t="s">
        <v>1009</v>
      </c>
      <c r="B40" s="1350">
        <v>1631608</v>
      </c>
      <c r="C40" s="1351">
        <v>2021</v>
      </c>
      <c r="D40" s="1352"/>
      <c r="E40" s="1352"/>
      <c r="F40" s="1352">
        <v>1631608</v>
      </c>
      <c r="G40" s="1381">
        <f t="shared" si="0"/>
        <v>0</v>
      </c>
    </row>
    <row r="41" spans="1:7" s="749" customFormat="1" ht="15.75" customHeight="1" thickBot="1" x14ac:dyDescent="0.25">
      <c r="A41" s="1357" t="s">
        <v>1009</v>
      </c>
      <c r="B41" s="1350">
        <v>4019215</v>
      </c>
      <c r="C41" s="1351">
        <v>2021</v>
      </c>
      <c r="D41" s="1352"/>
      <c r="E41" s="1352"/>
      <c r="F41" s="1352">
        <v>4019215</v>
      </c>
      <c r="G41" s="1363">
        <f t="shared" si="0"/>
        <v>0</v>
      </c>
    </row>
    <row r="42" spans="1:7" s="779" customFormat="1" ht="35.25" customHeight="1" thickBot="1" x14ac:dyDescent="0.25">
      <c r="A42" s="1382" t="s">
        <v>790</v>
      </c>
      <c r="B42" s="1372">
        <f>SUM(B43:B46)</f>
        <v>14882031</v>
      </c>
      <c r="C42" s="1379"/>
      <c r="D42" s="1372">
        <f>SUM(D43:D46)</f>
        <v>0</v>
      </c>
      <c r="E42" s="1372"/>
      <c r="F42" s="1372">
        <f>SUM(F43:F46)</f>
        <v>14882031</v>
      </c>
      <c r="G42" s="781">
        <f t="shared" si="0"/>
        <v>0</v>
      </c>
    </row>
    <row r="43" spans="1:7" s="749" customFormat="1" ht="21" customHeight="1" x14ac:dyDescent="0.2">
      <c r="A43" s="1358" t="s">
        <v>746</v>
      </c>
      <c r="B43" s="1359">
        <v>4720850</v>
      </c>
      <c r="C43" s="1360" t="s">
        <v>1010</v>
      </c>
      <c r="D43" s="1361"/>
      <c r="E43" s="1361"/>
      <c r="F43" s="1361">
        <v>4720850</v>
      </c>
      <c r="G43" s="1362">
        <f t="shared" si="0"/>
        <v>0</v>
      </c>
    </row>
    <row r="44" spans="1:7" s="749" customFormat="1" ht="21" customHeight="1" x14ac:dyDescent="0.2">
      <c r="A44" s="1357" t="s">
        <v>1011</v>
      </c>
      <c r="B44" s="1350">
        <f>1092200+101600</f>
        <v>1193800</v>
      </c>
      <c r="C44" s="1351" t="s">
        <v>857</v>
      </c>
      <c r="D44" s="1352">
        <v>0</v>
      </c>
      <c r="E44" s="1352"/>
      <c r="F44" s="1352">
        <f>1092200+101600</f>
        <v>1193800</v>
      </c>
      <c r="G44" s="1363"/>
    </row>
    <row r="45" spans="1:7" s="749" customFormat="1" ht="21" customHeight="1" x14ac:dyDescent="0.2">
      <c r="A45" s="1349" t="s">
        <v>1012</v>
      </c>
      <c r="B45" s="1350">
        <f>8884581</f>
        <v>8884581</v>
      </c>
      <c r="C45" s="1351" t="s">
        <v>1010</v>
      </c>
      <c r="D45" s="1352"/>
      <c r="E45" s="1364"/>
      <c r="F45" s="1350">
        <f>8884581</f>
        <v>8884581</v>
      </c>
      <c r="G45" s="1363"/>
    </row>
    <row r="46" spans="1:7" s="749" customFormat="1" ht="21" customHeight="1" thickBot="1" x14ac:dyDescent="0.25">
      <c r="A46" s="1357" t="s">
        <v>1013</v>
      </c>
      <c r="B46" s="1350">
        <v>82800</v>
      </c>
      <c r="C46" s="1351" t="s">
        <v>1010</v>
      </c>
      <c r="D46" s="1352"/>
      <c r="E46" s="1364"/>
      <c r="F46" s="1350">
        <v>82800</v>
      </c>
      <c r="G46" s="1363"/>
    </row>
    <row r="47" spans="1:7" s="747" customFormat="1" ht="21" customHeight="1" thickBot="1" x14ac:dyDescent="0.25">
      <c r="A47" s="1383" t="s">
        <v>789</v>
      </c>
      <c r="B47" s="1384">
        <f>SUM(B48:B48)</f>
        <v>25000</v>
      </c>
      <c r="C47" s="1385"/>
      <c r="D47" s="1384">
        <f>SUM(D48:D48)</f>
        <v>0</v>
      </c>
      <c r="E47" s="1384"/>
      <c r="F47" s="1384">
        <f>SUM(F48:F48)</f>
        <v>25000</v>
      </c>
      <c r="G47" s="1386">
        <f t="shared" ref="G47:G50" si="1">B47-D47-F47-E47</f>
        <v>0</v>
      </c>
    </row>
    <row r="48" spans="1:7" s="746" customFormat="1" ht="19.5" customHeight="1" thickBot="1" x14ac:dyDescent="0.25">
      <c r="A48" s="1365" t="s">
        <v>1014</v>
      </c>
      <c r="B48" s="1366">
        <v>25000</v>
      </c>
      <c r="C48" s="1367">
        <v>2021</v>
      </c>
      <c r="D48" s="1368"/>
      <c r="E48" s="1368"/>
      <c r="F48" s="1368">
        <v>25000</v>
      </c>
      <c r="G48" s="1369">
        <f t="shared" si="1"/>
        <v>0</v>
      </c>
    </row>
    <row r="49" spans="1:7" s="747" customFormat="1" ht="19.5" customHeight="1" thickBot="1" x14ac:dyDescent="0.25">
      <c r="A49" s="780" t="s">
        <v>745</v>
      </c>
      <c r="B49" s="851">
        <f>B47+B42+B35+B33+B31+B27</f>
        <v>76544037</v>
      </c>
      <c r="C49" s="851"/>
      <c r="D49" s="851">
        <f>D47+D42+D35+D33+D31+D27</f>
        <v>0</v>
      </c>
      <c r="E49" s="851"/>
      <c r="F49" s="851">
        <f>F47+F42+F35+F33+F31+F27</f>
        <v>76544037</v>
      </c>
      <c r="G49" s="781">
        <f t="shared" si="1"/>
        <v>0</v>
      </c>
    </row>
    <row r="50" spans="1:7" s="747" customFormat="1" ht="19.5" customHeight="1" thickBot="1" x14ac:dyDescent="0.25">
      <c r="A50" s="780" t="s">
        <v>791</v>
      </c>
      <c r="B50" s="851">
        <f>B49+B7</f>
        <v>703255142</v>
      </c>
      <c r="C50" s="851"/>
      <c r="D50" s="851">
        <f>D49+D7</f>
        <v>68659507</v>
      </c>
      <c r="E50" s="851">
        <f>+E49+E7</f>
        <v>22055853</v>
      </c>
      <c r="F50" s="851">
        <f>F49+F7</f>
        <v>612539782</v>
      </c>
      <c r="G50" s="781">
        <f t="shared" si="1"/>
        <v>0</v>
      </c>
    </row>
    <row r="51" spans="1:7" x14ac:dyDescent="0.2">
      <c r="F51" s="747">
        <f>'1.1.sz.mell. '!C122</f>
        <v>612539782</v>
      </c>
    </row>
    <row r="52" spans="1:7" x14ac:dyDescent="0.2">
      <c r="F52" s="747">
        <f>F50-F51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2"/>
  <sheetViews>
    <sheetView tabSelected="1" zoomScaleSheetLayoutView="115" workbookViewId="0">
      <selection activeCell="C11" sqref="C11"/>
    </sheetView>
  </sheetViews>
  <sheetFormatPr defaultRowHeight="12.75" x14ac:dyDescent="0.2"/>
  <cols>
    <col min="1" max="1" width="60.6640625" style="750" customWidth="1"/>
    <col min="2" max="2" width="15.6640625" style="751" customWidth="1"/>
    <col min="3" max="3" width="16.33203125" style="751" customWidth="1"/>
    <col min="4" max="4" width="18" style="751" customWidth="1"/>
    <col min="5" max="5" width="16.6640625" style="751" customWidth="1"/>
    <col min="6" max="6" width="18.83203125" style="751" customWidth="1"/>
    <col min="7" max="8" width="12.83203125" style="904" customWidth="1"/>
    <col min="9" max="9" width="13.83203125" style="904" customWidth="1"/>
    <col min="10" max="16384" width="9.33203125" style="904"/>
  </cols>
  <sheetData>
    <row r="1" spans="1:7" s="751" customFormat="1" ht="15.75" x14ac:dyDescent="0.2">
      <c r="A1" s="1449" t="str">
        <f>CONCATENATE("7. melléklet"," ",ALAPADATOK!A7," ",ALAPADATOK!B7," ",ALAPADATOK!C7," ",ALAPADATOK!D7," ",ALAPADATOK!E7," ",ALAPADATOK!F7," ",ALAPADATOK!G7," ",ALAPADATOK!H7)</f>
        <v>7. melléklet a 2 / 2021. ( II.15. ) önkormányzati rendelethez</v>
      </c>
      <c r="B1" s="1449"/>
      <c r="C1" s="1449"/>
      <c r="D1" s="1449"/>
      <c r="E1" s="1449"/>
      <c r="F1" s="1449"/>
    </row>
    <row r="3" spans="1:7" ht="24.75" customHeight="1" x14ac:dyDescent="0.2">
      <c r="A3" s="1450" t="s">
        <v>6</v>
      </c>
      <c r="B3" s="1450"/>
      <c r="C3" s="1450"/>
      <c r="D3" s="1450"/>
      <c r="E3" s="1450"/>
      <c r="F3" s="1450"/>
    </row>
    <row r="4" spans="1:7" ht="23.25" customHeight="1" thickBot="1" x14ac:dyDescent="0.3">
      <c r="A4" s="741"/>
      <c r="B4" s="740"/>
      <c r="C4" s="740"/>
      <c r="D4" s="740"/>
      <c r="E4" s="740"/>
      <c r="F4" s="742" t="s">
        <v>542</v>
      </c>
    </row>
    <row r="5" spans="1:7" s="739" customFormat="1" ht="48.75" customHeight="1" thickBot="1" x14ac:dyDescent="0.25">
      <c r="A5" s="782" t="s">
        <v>68</v>
      </c>
      <c r="B5" s="783" t="s">
        <v>66</v>
      </c>
      <c r="C5" s="783" t="s">
        <v>67</v>
      </c>
      <c r="D5" s="783" t="s">
        <v>872</v>
      </c>
      <c r="E5" s="783" t="s">
        <v>851</v>
      </c>
      <c r="F5" s="784" t="s">
        <v>860</v>
      </c>
      <c r="G5" s="288"/>
    </row>
    <row r="6" spans="1:7" s="806" customFormat="1" ht="15" customHeight="1" x14ac:dyDescent="0.2">
      <c r="A6" s="785">
        <v>1</v>
      </c>
      <c r="B6" s="786">
        <v>2</v>
      </c>
      <c r="C6" s="786">
        <v>3</v>
      </c>
      <c r="D6" s="786">
        <v>4</v>
      </c>
      <c r="E6" s="786">
        <v>5</v>
      </c>
      <c r="F6" s="787">
        <v>6</v>
      </c>
    </row>
    <row r="7" spans="1:7" s="806" customFormat="1" ht="15" customHeight="1" x14ac:dyDescent="0.2">
      <c r="A7" s="1451" t="s">
        <v>647</v>
      </c>
      <c r="B7" s="1452"/>
      <c r="C7" s="1452"/>
      <c r="D7" s="1452"/>
      <c r="E7" s="1452"/>
      <c r="F7" s="1453"/>
    </row>
    <row r="8" spans="1:7" s="746" customFormat="1" ht="15.95" customHeight="1" x14ac:dyDescent="0.2">
      <c r="A8" s="1387" t="s">
        <v>733</v>
      </c>
      <c r="B8" s="819">
        <v>80112238</v>
      </c>
      <c r="C8" s="817" t="s">
        <v>857</v>
      </c>
      <c r="D8" s="818">
        <v>80000</v>
      </c>
      <c r="E8" s="818">
        <v>80032238</v>
      </c>
      <c r="F8" s="1388">
        <f>B8-D8-E8</f>
        <v>0</v>
      </c>
    </row>
    <row r="9" spans="1:7" ht="15.95" customHeight="1" x14ac:dyDescent="0.2">
      <c r="A9" s="1387" t="s">
        <v>629</v>
      </c>
      <c r="B9" s="819">
        <v>6350000</v>
      </c>
      <c r="C9" s="817">
        <v>2021</v>
      </c>
      <c r="D9" s="818"/>
      <c r="E9" s="818">
        <v>6350000</v>
      </c>
      <c r="F9" s="1388">
        <f t="shared" ref="F9:F13" si="0">B9-D9-E9</f>
        <v>0</v>
      </c>
    </row>
    <row r="10" spans="1:7" s="355" customFormat="1" ht="15.95" customHeight="1" x14ac:dyDescent="0.2">
      <c r="A10" s="1389" t="s">
        <v>668</v>
      </c>
      <c r="B10" s="1390">
        <f>48292993+677185+322815+317500-202993</f>
        <v>49407500</v>
      </c>
      <c r="C10" s="817" t="s">
        <v>666</v>
      </c>
      <c r="D10" s="818">
        <f>36051833-1206500+14559743</f>
        <v>49405076</v>
      </c>
      <c r="E10" s="818">
        <f>12241160+677185+322815+1524000-14762736</f>
        <v>2424</v>
      </c>
      <c r="F10" s="820">
        <f t="shared" si="0"/>
        <v>0</v>
      </c>
    </row>
    <row r="11" spans="1:7" ht="15.95" customHeight="1" x14ac:dyDescent="0.2">
      <c r="A11" s="1387" t="s">
        <v>981</v>
      </c>
      <c r="B11" s="1390">
        <v>5080000</v>
      </c>
      <c r="C11" s="817" t="s">
        <v>979</v>
      </c>
      <c r="D11" s="818"/>
      <c r="E11" s="818">
        <v>5080000</v>
      </c>
      <c r="F11" s="820">
        <f t="shared" si="0"/>
        <v>0</v>
      </c>
    </row>
    <row r="12" spans="1:7" ht="15.95" customHeight="1" x14ac:dyDescent="0.2">
      <c r="A12" s="1387" t="s">
        <v>977</v>
      </c>
      <c r="B12" s="1390">
        <v>1397000</v>
      </c>
      <c r="C12" s="817">
        <v>2021</v>
      </c>
      <c r="D12" s="818"/>
      <c r="E12" s="818">
        <v>1397000</v>
      </c>
      <c r="F12" s="1391">
        <f t="shared" si="0"/>
        <v>0</v>
      </c>
    </row>
    <row r="13" spans="1:7" x14ac:dyDescent="0.2">
      <c r="A13" s="1387" t="s">
        <v>784</v>
      </c>
      <c r="B13" s="819">
        <v>5000000</v>
      </c>
      <c r="C13" s="817">
        <v>2021</v>
      </c>
      <c r="D13" s="818"/>
      <c r="E13" s="818">
        <v>5000000</v>
      </c>
      <c r="F13" s="821">
        <f t="shared" si="0"/>
        <v>0</v>
      </c>
    </row>
    <row r="14" spans="1:7" x14ac:dyDescent="0.2">
      <c r="A14" s="1579" t="s">
        <v>978</v>
      </c>
      <c r="B14" s="1390">
        <v>46014821</v>
      </c>
      <c r="C14" s="817" t="s">
        <v>979</v>
      </c>
      <c r="D14" s="1392"/>
      <c r="E14" s="1392">
        <v>46014821</v>
      </c>
      <c r="F14" s="1393">
        <f t="shared" ref="F14:F15" si="1">B14-D14-E14</f>
        <v>0</v>
      </c>
    </row>
    <row r="15" spans="1:7" x14ac:dyDescent="0.2">
      <c r="A15" s="1580" t="s">
        <v>841</v>
      </c>
      <c r="B15" s="1394">
        <f>216942416-800</f>
        <v>216941616</v>
      </c>
      <c r="C15" s="1229" t="s">
        <v>858</v>
      </c>
      <c r="D15" s="1395">
        <v>6286500</v>
      </c>
      <c r="E15" s="1395">
        <f>216942416-800-6286500</f>
        <v>210655116</v>
      </c>
      <c r="F15" s="1232">
        <f t="shared" si="1"/>
        <v>0</v>
      </c>
    </row>
    <row r="16" spans="1:7" x14ac:dyDescent="0.2">
      <c r="A16" s="1580" t="s">
        <v>846</v>
      </c>
      <c r="B16" s="1394">
        <v>5627218</v>
      </c>
      <c r="C16" s="1229" t="s">
        <v>980</v>
      </c>
      <c r="D16" s="1395"/>
      <c r="E16" s="1395">
        <v>2813609</v>
      </c>
      <c r="F16" s="1232">
        <f t="shared" ref="F16" si="2">B16-D16-E16</f>
        <v>2813609</v>
      </c>
    </row>
    <row r="17" spans="1:6" x14ac:dyDescent="0.2">
      <c r="A17" s="1454" t="s">
        <v>1016</v>
      </c>
      <c r="B17" s="1455"/>
      <c r="C17" s="1455"/>
      <c r="D17" s="1455"/>
      <c r="E17" s="1455"/>
      <c r="F17" s="1456"/>
    </row>
    <row r="18" spans="1:6" s="747" customFormat="1" ht="25.5" x14ac:dyDescent="0.2">
      <c r="A18" s="1396" t="s">
        <v>1015</v>
      </c>
      <c r="B18" s="819">
        <v>1500722</v>
      </c>
      <c r="C18" s="817" t="s">
        <v>1010</v>
      </c>
      <c r="D18" s="818"/>
      <c r="E18" s="818">
        <v>1500722</v>
      </c>
      <c r="F18" s="821"/>
    </row>
    <row r="19" spans="1:6" x14ac:dyDescent="0.2">
      <c r="A19" s="1454" t="s">
        <v>0</v>
      </c>
      <c r="B19" s="1455"/>
      <c r="C19" s="1455"/>
      <c r="D19" s="1455"/>
      <c r="E19" s="1455"/>
      <c r="F19" s="1456"/>
    </row>
    <row r="20" spans="1:6" s="747" customFormat="1" ht="13.5" thickBot="1" x14ac:dyDescent="0.25">
      <c r="A20" s="1397" t="s">
        <v>747</v>
      </c>
      <c r="B20" s="1394">
        <v>1054700</v>
      </c>
      <c r="C20" s="1229" t="s">
        <v>857</v>
      </c>
      <c r="D20" s="1395">
        <v>737200</v>
      </c>
      <c r="E20" s="1395">
        <v>317500</v>
      </c>
      <c r="F20" s="821"/>
    </row>
    <row r="21" spans="1:6" ht="13.5" thickBot="1" x14ac:dyDescent="0.25">
      <c r="A21" s="743" t="s">
        <v>64</v>
      </c>
      <c r="B21" s="744">
        <f>SUM(B8:B20)</f>
        <v>418485815</v>
      </c>
      <c r="C21" s="744"/>
      <c r="D21" s="744">
        <f>SUM(D8:D20)</f>
        <v>56508776</v>
      </c>
      <c r="E21" s="744">
        <f>SUM(E8:E20)</f>
        <v>359163430</v>
      </c>
      <c r="F21" s="745">
        <v>0</v>
      </c>
    </row>
    <row r="22" spans="1:6" x14ac:dyDescent="0.2">
      <c r="E22" s="751">
        <f>'1.1.sz.mell. '!C124</f>
        <v>359163430</v>
      </c>
    </row>
  </sheetData>
  <mergeCells count="5">
    <mergeCell ref="A1:F1"/>
    <mergeCell ref="A3:F3"/>
    <mergeCell ref="A7:F7"/>
    <mergeCell ref="A17:F17"/>
    <mergeCell ref="A19:F19"/>
  </mergeCells>
  <printOptions horizontalCentered="1"/>
  <pageMargins left="0.7" right="0.7" top="0.75" bottom="0.75" header="0.3" footer="0.3"/>
  <pageSetup paperSize="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9" zoomScaleSheetLayoutView="85" workbookViewId="0">
      <selection activeCell="F33" sqref="F33"/>
    </sheetView>
  </sheetViews>
  <sheetFormatPr defaultColWidth="9.33203125" defaultRowHeight="12.75" x14ac:dyDescent="0.2"/>
  <cols>
    <col min="1" max="1" width="38.6640625" style="983" customWidth="1"/>
    <col min="2" max="5" width="13.83203125" style="983" customWidth="1"/>
    <col min="6" max="6" width="9.33203125" style="983"/>
    <col min="7" max="7" width="11.1640625" style="983" bestFit="1" customWidth="1"/>
    <col min="8" max="9" width="10.1640625" style="983" bestFit="1" customWidth="1"/>
    <col min="10" max="16384" width="9.33203125" style="983"/>
  </cols>
  <sheetData>
    <row r="1" spans="1:5" x14ac:dyDescent="0.2">
      <c r="A1" s="1457" t="str">
        <f>CONCATENATE("8. melléklet"," ",ALAPADATOK!A7," ",ALAPADATOK!B7," ",ALAPADATOK!C7," ",ALAPADATOK!D7," ",ALAPADATOK!E7," ",ALAPADATOK!F7," ",ALAPADATOK!G7," ",ALAPADATOK!H7)</f>
        <v>8. melléklet a 2 / 2021. ( II.15. ) önkormányzati rendelethez</v>
      </c>
      <c r="B1" s="1457"/>
      <c r="C1" s="1457"/>
      <c r="D1" s="1457"/>
      <c r="E1" s="1457"/>
    </row>
    <row r="2" spans="1:5" x14ac:dyDescent="0.2">
      <c r="A2" s="900"/>
      <c r="B2" s="900"/>
      <c r="C2" s="900"/>
      <c r="D2" s="900"/>
      <c r="E2" s="900"/>
    </row>
    <row r="3" spans="1:5" ht="56.25" customHeight="1" x14ac:dyDescent="0.25">
      <c r="A3" s="1458" t="s">
        <v>665</v>
      </c>
      <c r="B3" s="1458"/>
      <c r="C3" s="1458"/>
      <c r="D3" s="1458"/>
      <c r="E3" s="1458"/>
    </row>
    <row r="4" spans="1:5" ht="14.25" thickBot="1" x14ac:dyDescent="0.3">
      <c r="A4" s="900"/>
      <c r="B4" s="900"/>
      <c r="C4" s="900"/>
      <c r="D4" s="1459" t="s">
        <v>548</v>
      </c>
      <c r="E4" s="1459"/>
    </row>
    <row r="5" spans="1:5" ht="15" customHeight="1" thickBot="1" x14ac:dyDescent="0.25">
      <c r="A5" s="916" t="s">
        <v>579</v>
      </c>
      <c r="B5" s="917" t="s">
        <v>861</v>
      </c>
      <c r="C5" s="917" t="s">
        <v>852</v>
      </c>
      <c r="D5" s="917" t="s">
        <v>862</v>
      </c>
      <c r="E5" s="918" t="s">
        <v>51</v>
      </c>
    </row>
    <row r="6" spans="1:5" x14ac:dyDescent="0.2">
      <c r="A6" s="886" t="s">
        <v>580</v>
      </c>
      <c r="B6" s="887">
        <v>77712</v>
      </c>
      <c r="C6" s="887">
        <v>141000</v>
      </c>
      <c r="D6" s="887"/>
      <c r="E6" s="888">
        <f>SUM(B6:D6)</f>
        <v>218712</v>
      </c>
    </row>
    <row r="7" spans="1:5" x14ac:dyDescent="0.2">
      <c r="A7" s="889" t="s">
        <v>581</v>
      </c>
      <c r="B7" s="890"/>
      <c r="C7" s="890"/>
      <c r="D7" s="890"/>
      <c r="E7" s="891">
        <f t="shared" ref="E7:E12" si="0">SUM(B7:D7)</f>
        <v>0</v>
      </c>
    </row>
    <row r="8" spans="1:5" x14ac:dyDescent="0.2">
      <c r="A8" s="892" t="s">
        <v>582</v>
      </c>
      <c r="B8" s="893">
        <f>15956160-159000</f>
        <v>15797160</v>
      </c>
      <c r="C8" s="893"/>
      <c r="D8" s="893"/>
      <c r="E8" s="894">
        <f t="shared" si="0"/>
        <v>15797160</v>
      </c>
    </row>
    <row r="9" spans="1:5" x14ac:dyDescent="0.2">
      <c r="A9" s="892" t="s">
        <v>583</v>
      </c>
      <c r="B9" s="893"/>
      <c r="C9" s="893"/>
      <c r="D9" s="893"/>
      <c r="E9" s="894">
        <f t="shared" si="0"/>
        <v>0</v>
      </c>
    </row>
    <row r="10" spans="1:5" x14ac:dyDescent="0.2">
      <c r="A10" s="892" t="s">
        <v>121</v>
      </c>
      <c r="B10" s="928"/>
      <c r="C10" s="893"/>
      <c r="D10" s="893"/>
      <c r="E10" s="894">
        <f t="shared" si="0"/>
        <v>0</v>
      </c>
    </row>
    <row r="11" spans="1:5" x14ac:dyDescent="0.2">
      <c r="A11" s="892" t="s">
        <v>584</v>
      </c>
      <c r="B11" s="893"/>
      <c r="C11" s="893"/>
      <c r="D11" s="893"/>
      <c r="E11" s="894">
        <f t="shared" si="0"/>
        <v>0</v>
      </c>
    </row>
    <row r="12" spans="1:5" ht="13.5" thickBot="1" x14ac:dyDescent="0.25">
      <c r="A12" s="895"/>
      <c r="B12" s="896"/>
      <c r="C12" s="896"/>
      <c r="D12" s="896"/>
      <c r="E12" s="894">
        <f t="shared" si="0"/>
        <v>0</v>
      </c>
    </row>
    <row r="13" spans="1:5" ht="13.5" thickBot="1" x14ac:dyDescent="0.25">
      <c r="A13" s="919" t="s">
        <v>585</v>
      </c>
      <c r="B13" s="897">
        <f>B6+SUM(B8:B12)</f>
        <v>15874872</v>
      </c>
      <c r="C13" s="897">
        <f>C6+SUM(C8:C12)</f>
        <v>141000</v>
      </c>
      <c r="D13" s="897">
        <f>D6+SUM(D8:D12)</f>
        <v>0</v>
      </c>
      <c r="E13" s="885">
        <f>SUM(E6:E12)</f>
        <v>16015872</v>
      </c>
    </row>
    <row r="14" spans="1:5" ht="13.5" thickBot="1" x14ac:dyDescent="0.25">
      <c r="A14" s="1402"/>
      <c r="B14" s="1402"/>
      <c r="C14" s="1402"/>
      <c r="D14" s="1402"/>
      <c r="E14" s="1402"/>
    </row>
    <row r="15" spans="1:5" ht="15" customHeight="1" thickBot="1" x14ac:dyDescent="0.25">
      <c r="A15" s="916" t="s">
        <v>586</v>
      </c>
      <c r="B15" s="917" t="s">
        <v>861</v>
      </c>
      <c r="C15" s="917" t="s">
        <v>852</v>
      </c>
      <c r="D15" s="917" t="s">
        <v>862</v>
      </c>
      <c r="E15" s="918" t="s">
        <v>51</v>
      </c>
    </row>
    <row r="16" spans="1:5" x14ac:dyDescent="0.2">
      <c r="A16" s="886" t="s">
        <v>587</v>
      </c>
      <c r="B16" s="887"/>
      <c r="C16" s="887"/>
      <c r="D16" s="887"/>
      <c r="E16" s="888">
        <f>SUM(B16:D16)</f>
        <v>0</v>
      </c>
    </row>
    <row r="17" spans="1:5" x14ac:dyDescent="0.2">
      <c r="A17" s="898" t="s">
        <v>588</v>
      </c>
      <c r="B17" s="893">
        <f>6978592+638160+5094120</f>
        <v>12710872</v>
      </c>
      <c r="C17" s="893">
        <v>95000</v>
      </c>
      <c r="D17" s="893"/>
      <c r="E17" s="894">
        <f t="shared" ref="E17:E22" si="1">SUM(B17:D17)</f>
        <v>12805872</v>
      </c>
    </row>
    <row r="18" spans="1:5" x14ac:dyDescent="0.2">
      <c r="A18" s="892" t="s">
        <v>589</v>
      </c>
      <c r="B18" s="893"/>
      <c r="C18" s="893">
        <v>46000</v>
      </c>
      <c r="D18" s="893"/>
      <c r="E18" s="894">
        <f t="shared" si="1"/>
        <v>46000</v>
      </c>
    </row>
    <row r="19" spans="1:5" x14ac:dyDescent="0.2">
      <c r="A19" s="892" t="s">
        <v>590</v>
      </c>
      <c r="B19" s="893"/>
      <c r="C19" s="893"/>
      <c r="D19" s="893"/>
      <c r="E19" s="894">
        <f t="shared" si="1"/>
        <v>0</v>
      </c>
    </row>
    <row r="20" spans="1:5" x14ac:dyDescent="0.2">
      <c r="A20" s="899" t="s">
        <v>591</v>
      </c>
      <c r="B20" s="893"/>
      <c r="C20" s="893"/>
      <c r="D20" s="893"/>
      <c r="E20" s="894">
        <f t="shared" si="1"/>
        <v>0</v>
      </c>
    </row>
    <row r="21" spans="1:5" x14ac:dyDescent="0.2">
      <c r="A21" s="899" t="s">
        <v>592</v>
      </c>
      <c r="B21" s="893">
        <v>3164000</v>
      </c>
      <c r="C21" s="893"/>
      <c r="D21" s="893"/>
      <c r="E21" s="894">
        <f t="shared" si="1"/>
        <v>3164000</v>
      </c>
    </row>
    <row r="22" spans="1:5" ht="13.5" thickBot="1" x14ac:dyDescent="0.25">
      <c r="A22" s="895"/>
      <c r="B22" s="896"/>
      <c r="C22" s="896"/>
      <c r="D22" s="896"/>
      <c r="E22" s="894">
        <f t="shared" si="1"/>
        <v>0</v>
      </c>
    </row>
    <row r="23" spans="1:5" ht="13.5" thickBot="1" x14ac:dyDescent="0.25">
      <c r="A23" s="919" t="s">
        <v>52</v>
      </c>
      <c r="B23" s="920">
        <f>SUM(B16:B22)</f>
        <v>15874872</v>
      </c>
      <c r="C23" s="920">
        <f>SUM(C16:C22)</f>
        <v>141000</v>
      </c>
      <c r="D23" s="920">
        <f>SUM(D16:D22)</f>
        <v>0</v>
      </c>
      <c r="E23" s="921">
        <f>SUM(E16:E22)</f>
        <v>16015872</v>
      </c>
    </row>
    <row r="24" spans="1:5" x14ac:dyDescent="0.2">
      <c r="A24" s="900"/>
      <c r="B24" s="900"/>
      <c r="C24" s="900"/>
      <c r="D24" s="900"/>
      <c r="E24" s="900"/>
    </row>
    <row r="25" spans="1:5" ht="51.75" customHeight="1" x14ac:dyDescent="0.25">
      <c r="A25" s="1458" t="s">
        <v>1028</v>
      </c>
      <c r="B25" s="1458"/>
      <c r="C25" s="1458"/>
      <c r="D25" s="1458"/>
      <c r="E25" s="1458"/>
    </row>
    <row r="26" spans="1:5" ht="14.25" thickBot="1" x14ac:dyDescent="0.3">
      <c r="A26" s="900"/>
      <c r="B26" s="900"/>
      <c r="C26" s="900"/>
      <c r="D26" s="1459" t="s">
        <v>548</v>
      </c>
      <c r="E26" s="1459"/>
    </row>
    <row r="27" spans="1:5" ht="13.5" thickBot="1" x14ac:dyDescent="0.25">
      <c r="A27" s="916" t="s">
        <v>579</v>
      </c>
      <c r="B27" s="917" t="s">
        <v>861</v>
      </c>
      <c r="C27" s="917" t="s">
        <v>852</v>
      </c>
      <c r="D27" s="917" t="s">
        <v>862</v>
      </c>
      <c r="E27" s="918" t="s">
        <v>51</v>
      </c>
    </row>
    <row r="28" spans="1:5" x14ac:dyDescent="0.2">
      <c r="A28" s="886" t="s">
        <v>580</v>
      </c>
      <c r="B28" s="887">
        <f>2021904+1114507</f>
        <v>3136411</v>
      </c>
      <c r="C28" s="887">
        <f>1000000+317500-1114507-202993</f>
        <v>0</v>
      </c>
      <c r="D28" s="887"/>
      <c r="E28" s="888">
        <f>SUM(B28:D28)</f>
        <v>3136411</v>
      </c>
    </row>
    <row r="29" spans="1:5" x14ac:dyDescent="0.2">
      <c r="A29" s="889" t="s">
        <v>581</v>
      </c>
      <c r="B29" s="890"/>
      <c r="C29" s="890"/>
      <c r="D29" s="890"/>
      <c r="E29" s="891">
        <f t="shared" ref="E29:E34" si="2">SUM(B29:D29)</f>
        <v>0</v>
      </c>
    </row>
    <row r="30" spans="1:5" x14ac:dyDescent="0.2">
      <c r="A30" s="892" t="s">
        <v>582</v>
      </c>
      <c r="B30" s="893">
        <f>66360408+41079881</f>
        <v>107440289</v>
      </c>
      <c r="C30" s="893">
        <f>72654520-41079881</f>
        <v>31574639</v>
      </c>
      <c r="D30" s="893"/>
      <c r="E30" s="894">
        <f t="shared" si="2"/>
        <v>139014928</v>
      </c>
    </row>
    <row r="31" spans="1:5" x14ac:dyDescent="0.2">
      <c r="A31" s="892" t="s">
        <v>583</v>
      </c>
      <c r="B31" s="893"/>
      <c r="C31" s="893"/>
      <c r="D31" s="893"/>
      <c r="E31" s="894">
        <f t="shared" si="2"/>
        <v>0</v>
      </c>
    </row>
    <row r="32" spans="1:5" x14ac:dyDescent="0.2">
      <c r="A32" s="892" t="s">
        <v>121</v>
      </c>
      <c r="B32" s="928"/>
      <c r="C32" s="893"/>
      <c r="D32" s="893"/>
      <c r="E32" s="894">
        <f t="shared" si="2"/>
        <v>0</v>
      </c>
    </row>
    <row r="33" spans="1:8" x14ac:dyDescent="0.2">
      <c r="A33" s="892" t="s">
        <v>584</v>
      </c>
      <c r="B33" s="893"/>
      <c r="C33" s="928"/>
      <c r="D33" s="893"/>
      <c r="E33" s="894">
        <f t="shared" si="2"/>
        <v>0</v>
      </c>
    </row>
    <row r="34" spans="1:8" ht="13.5" thickBot="1" x14ac:dyDescent="0.25">
      <c r="A34" s="895"/>
      <c r="B34" s="896"/>
      <c r="C34" s="896"/>
      <c r="D34" s="896"/>
      <c r="E34" s="894">
        <f t="shared" si="2"/>
        <v>0</v>
      </c>
    </row>
    <row r="35" spans="1:8" ht="13.5" thickBot="1" x14ac:dyDescent="0.25">
      <c r="A35" s="919" t="s">
        <v>585</v>
      </c>
      <c r="B35" s="897">
        <f>B28+SUM(B30:B34)</f>
        <v>110576700</v>
      </c>
      <c r="C35" s="897">
        <f>C28+SUM(C30:C34)</f>
        <v>31574639</v>
      </c>
      <c r="D35" s="897">
        <f>D28+SUM(D30:D34)</f>
        <v>0</v>
      </c>
      <c r="E35" s="885">
        <f>E28+SUM(E30:E34)</f>
        <v>142151339</v>
      </c>
    </row>
    <row r="36" spans="1:8" ht="13.5" thickBot="1" x14ac:dyDescent="0.25">
      <c r="A36" s="1402"/>
      <c r="B36" s="1402"/>
      <c r="C36" s="1402"/>
      <c r="D36" s="1402"/>
      <c r="E36" s="1402"/>
    </row>
    <row r="37" spans="1:8" ht="13.5" thickBot="1" x14ac:dyDescent="0.25">
      <c r="A37" s="916" t="s">
        <v>586</v>
      </c>
      <c r="B37" s="917" t="str">
        <f>B27</f>
        <v>2021. előtt</v>
      </c>
      <c r="C37" s="917" t="str">
        <f>C27</f>
        <v>2021.</v>
      </c>
      <c r="D37" s="917" t="str">
        <f>D27</f>
        <v>2021. után</v>
      </c>
      <c r="E37" s="918" t="s">
        <v>51</v>
      </c>
    </row>
    <row r="38" spans="1:8" x14ac:dyDescent="0.2">
      <c r="A38" s="886" t="s">
        <v>587</v>
      </c>
      <c r="B38" s="887">
        <f>3104854+2230710</f>
        <v>5335564</v>
      </c>
      <c r="C38" s="887">
        <f>4550402-2230710</f>
        <v>2319692</v>
      </c>
      <c r="D38" s="887"/>
      <c r="E38" s="888">
        <f t="shared" ref="E38:E44" si="3">SUM(B38:D38)</f>
        <v>7655256</v>
      </c>
    </row>
    <row r="39" spans="1:8" x14ac:dyDescent="0.2">
      <c r="A39" s="898" t="s">
        <v>868</v>
      </c>
      <c r="B39" s="893">
        <f>37347533-1206500+17287494+1114507</f>
        <v>54543034</v>
      </c>
      <c r="C39" s="893">
        <f>17650043+1000000+1206500+317500-17287494-1114507-202993</f>
        <v>1569049</v>
      </c>
      <c r="D39" s="893"/>
      <c r="E39" s="894">
        <f t="shared" si="3"/>
        <v>56112083</v>
      </c>
    </row>
    <row r="40" spans="1:8" x14ac:dyDescent="0.2">
      <c r="A40" s="892" t="s">
        <v>589</v>
      </c>
      <c r="B40" s="893">
        <f>4388001+1299999</f>
        <v>5688000</v>
      </c>
      <c r="C40" s="893">
        <f>4683999-1299999</f>
        <v>3384000</v>
      </c>
      <c r="D40" s="893"/>
      <c r="E40" s="894">
        <f t="shared" si="3"/>
        <v>9072000</v>
      </c>
    </row>
    <row r="41" spans="1:8" x14ac:dyDescent="0.2">
      <c r="A41" s="892" t="s">
        <v>590</v>
      </c>
      <c r="B41" s="893"/>
      <c r="C41" s="893"/>
      <c r="D41" s="893"/>
      <c r="E41" s="894">
        <f t="shared" si="3"/>
        <v>0</v>
      </c>
    </row>
    <row r="42" spans="1:8" x14ac:dyDescent="0.2">
      <c r="A42" s="899" t="s">
        <v>591</v>
      </c>
      <c r="B42" s="893"/>
      <c r="C42" s="893"/>
      <c r="D42" s="893"/>
      <c r="E42" s="894">
        <f t="shared" si="3"/>
        <v>0</v>
      </c>
    </row>
    <row r="43" spans="1:8" x14ac:dyDescent="0.2">
      <c r="A43" s="899" t="s">
        <v>592</v>
      </c>
      <c r="B43" s="928"/>
      <c r="C43" s="893"/>
      <c r="D43" s="893"/>
      <c r="E43" s="894">
        <f t="shared" si="3"/>
        <v>0</v>
      </c>
    </row>
    <row r="44" spans="1:8" ht="13.5" thickBot="1" x14ac:dyDescent="0.25">
      <c r="A44" s="895" t="s">
        <v>792</v>
      </c>
      <c r="B44" s="896">
        <f>4300000+18370000</f>
        <v>22670000</v>
      </c>
      <c r="C44" s="896">
        <f>65012000-18370000</f>
        <v>46642000</v>
      </c>
      <c r="D44" s="896"/>
      <c r="E44" s="894">
        <f t="shared" si="3"/>
        <v>69312000</v>
      </c>
    </row>
    <row r="45" spans="1:8" ht="13.5" thickBot="1" x14ac:dyDescent="0.25">
      <c r="A45" s="919" t="s">
        <v>52</v>
      </c>
      <c r="B45" s="920">
        <f>SUM(B38:B44)</f>
        <v>88236598</v>
      </c>
      <c r="C45" s="920">
        <f>SUM(C38:C44)</f>
        <v>53914741</v>
      </c>
      <c r="D45" s="920">
        <f>SUM(D38:D44)</f>
        <v>0</v>
      </c>
      <c r="E45" s="921">
        <f>SUM(E38:E44)</f>
        <v>142151339</v>
      </c>
      <c r="G45" s="869"/>
      <c r="H45" s="869"/>
    </row>
    <row r="46" spans="1:8" x14ac:dyDescent="0.2">
      <c r="A46" s="900"/>
      <c r="B46" s="900"/>
      <c r="C46" s="900"/>
      <c r="D46" s="900"/>
      <c r="E46" s="1404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58" priority="3" stopIfTrue="1" operator="equal">
      <formula>0</formula>
    </cfRule>
  </conditionalFormatting>
  <conditionalFormatting sqref="G45:H45">
    <cfRule type="cellIs" dxfId="57" priority="2" stopIfTrue="1" operator="equal">
      <formula>0</formula>
    </cfRule>
  </conditionalFormatting>
  <conditionalFormatting sqref="E28:E35 B35:D35 E38:E45 B45:D45">
    <cfRule type="cellIs" dxfId="5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19" zoomScaleSheetLayoutView="85" workbookViewId="0">
      <selection activeCell="E32" sqref="E32"/>
    </sheetView>
  </sheetViews>
  <sheetFormatPr defaultColWidth="9.33203125" defaultRowHeight="12.75" x14ac:dyDescent="0.2"/>
  <cols>
    <col min="1" max="1" width="38.6640625" style="983" customWidth="1"/>
    <col min="2" max="5" width="13.83203125" style="983" customWidth="1"/>
    <col min="6" max="6" width="9.33203125" style="983"/>
    <col min="7" max="7" width="10.1640625" style="983" bestFit="1" customWidth="1"/>
    <col min="8" max="16384" width="9.33203125" style="983"/>
  </cols>
  <sheetData>
    <row r="1" spans="1:5" x14ac:dyDescent="0.2">
      <c r="A1" s="1457" t="str">
        <f>CONCATENATE("8.1. melléklet"," ",ALAPADATOK!A7," ",ALAPADATOK!B7," ",ALAPADATOK!C7," ",ALAPADATOK!D7," ",ALAPADATOK!E7," ",ALAPADATOK!F7," ",ALAPADATOK!G7," ",ALAPADATOK!H7)</f>
        <v>8.1. melléklet a 2 / 2021. ( II.15. ) önkormányzati rendelethez</v>
      </c>
      <c r="B1" s="1457"/>
      <c r="C1" s="1457"/>
      <c r="D1" s="1457"/>
      <c r="E1" s="1457"/>
    </row>
    <row r="2" spans="1:5" x14ac:dyDescent="0.2">
      <c r="A2" s="900"/>
      <c r="B2" s="900"/>
      <c r="C2" s="900"/>
      <c r="D2" s="900"/>
      <c r="E2" s="900"/>
    </row>
    <row r="3" spans="1:5" ht="57" customHeight="1" x14ac:dyDescent="0.25">
      <c r="A3" s="1458" t="s">
        <v>749</v>
      </c>
      <c r="B3" s="1458"/>
      <c r="C3" s="1458"/>
      <c r="D3" s="1458"/>
      <c r="E3" s="1458"/>
    </row>
    <row r="4" spans="1:5" ht="14.25" thickBot="1" x14ac:dyDescent="0.3">
      <c r="A4" s="871"/>
      <c r="B4" s="871"/>
      <c r="C4" s="871"/>
      <c r="D4" s="1459" t="s">
        <v>548</v>
      </c>
      <c r="E4" s="1459"/>
    </row>
    <row r="5" spans="1:5" ht="15" customHeight="1" thickBot="1" x14ac:dyDescent="0.25">
      <c r="A5" s="916" t="s">
        <v>579</v>
      </c>
      <c r="B5" s="917" t="s">
        <v>861</v>
      </c>
      <c r="C5" s="917" t="s">
        <v>852</v>
      </c>
      <c r="D5" s="917" t="s">
        <v>862</v>
      </c>
      <c r="E5" s="918" t="s">
        <v>51</v>
      </c>
    </row>
    <row r="6" spans="1:5" x14ac:dyDescent="0.2">
      <c r="A6" s="872" t="s">
        <v>580</v>
      </c>
      <c r="B6" s="873"/>
      <c r="C6" s="873"/>
      <c r="D6" s="873"/>
      <c r="E6" s="874">
        <f>B6+C6+D6</f>
        <v>0</v>
      </c>
    </row>
    <row r="7" spans="1:5" x14ac:dyDescent="0.2">
      <c r="A7" s="875" t="s">
        <v>581</v>
      </c>
      <c r="B7" s="876"/>
      <c r="C7" s="876"/>
      <c r="D7" s="876"/>
      <c r="E7" s="877">
        <f t="shared" ref="E7:E12" si="0">B7+C7+D7</f>
        <v>0</v>
      </c>
    </row>
    <row r="8" spans="1:5" x14ac:dyDescent="0.2">
      <c r="A8" s="878" t="s">
        <v>582</v>
      </c>
      <c r="B8" s="928">
        <v>5715000</v>
      </c>
      <c r="C8" s="928">
        <v>25776050</v>
      </c>
      <c r="D8" s="928"/>
      <c r="E8" s="929">
        <f t="shared" si="0"/>
        <v>31491050</v>
      </c>
    </row>
    <row r="9" spans="1:5" x14ac:dyDescent="0.2">
      <c r="A9" s="878" t="s">
        <v>583</v>
      </c>
      <c r="B9" s="928"/>
      <c r="C9" s="928"/>
      <c r="D9" s="928"/>
      <c r="E9" s="929">
        <f t="shared" si="0"/>
        <v>0</v>
      </c>
    </row>
    <row r="10" spans="1:5" x14ac:dyDescent="0.2">
      <c r="A10" s="878" t="s">
        <v>121</v>
      </c>
      <c r="B10" s="928"/>
      <c r="C10" s="928"/>
      <c r="D10" s="928"/>
      <c r="E10" s="929">
        <f t="shared" si="0"/>
        <v>0</v>
      </c>
    </row>
    <row r="11" spans="1:5" x14ac:dyDescent="0.2">
      <c r="A11" s="878" t="s">
        <v>584</v>
      </c>
      <c r="B11" s="928"/>
      <c r="C11" s="928"/>
      <c r="D11" s="928"/>
      <c r="E11" s="929">
        <f t="shared" si="0"/>
        <v>0</v>
      </c>
    </row>
    <row r="12" spans="1:5" ht="13.5" thickBot="1" x14ac:dyDescent="0.25">
      <c r="A12" s="879"/>
      <c r="B12" s="930"/>
      <c r="C12" s="930"/>
      <c r="D12" s="930"/>
      <c r="E12" s="929">
        <f t="shared" si="0"/>
        <v>0</v>
      </c>
    </row>
    <row r="13" spans="1:5" ht="13.5" thickBot="1" x14ac:dyDescent="0.25">
      <c r="A13" s="919" t="s">
        <v>585</v>
      </c>
      <c r="B13" s="920">
        <f>B6+SUM(B8:B12)</f>
        <v>5715000</v>
      </c>
      <c r="C13" s="920">
        <f>C6+SUM(C8:C12)</f>
        <v>25776050</v>
      </c>
      <c r="D13" s="920">
        <f>D6+SUM(D8:D12)</f>
        <v>0</v>
      </c>
      <c r="E13" s="921">
        <f>E6+SUM(E8:E12)</f>
        <v>31491050</v>
      </c>
    </row>
    <row r="14" spans="1:5" ht="13.5" thickBot="1" x14ac:dyDescent="0.25">
      <c r="A14" s="880"/>
      <c r="B14" s="880"/>
      <c r="C14" s="880"/>
      <c r="D14" s="880"/>
      <c r="E14" s="880"/>
    </row>
    <row r="15" spans="1:5" ht="15" customHeight="1" thickBot="1" x14ac:dyDescent="0.25">
      <c r="A15" s="916" t="s">
        <v>586</v>
      </c>
      <c r="B15" s="917" t="str">
        <f>B5</f>
        <v>2021. előtt</v>
      </c>
      <c r="C15" s="917" t="str">
        <f t="shared" ref="C15:E15" si="1">C5</f>
        <v>2021.</v>
      </c>
      <c r="D15" s="917" t="str">
        <f t="shared" si="1"/>
        <v>2021. után</v>
      </c>
      <c r="E15" s="917" t="str">
        <f t="shared" si="1"/>
        <v>Összesen</v>
      </c>
    </row>
    <row r="16" spans="1:5" x14ac:dyDescent="0.2">
      <c r="A16" s="872" t="s">
        <v>587</v>
      </c>
      <c r="B16" s="873"/>
      <c r="C16" s="873"/>
      <c r="D16" s="873"/>
      <c r="E16" s="874">
        <f t="shared" ref="E16:E22" si="2">B16+C16+D16</f>
        <v>0</v>
      </c>
    </row>
    <row r="17" spans="1:9" x14ac:dyDescent="0.2">
      <c r="A17" s="881" t="s">
        <v>588</v>
      </c>
      <c r="B17" s="928">
        <f>1270000+1270000+3175000</f>
        <v>5715000</v>
      </c>
      <c r="C17" s="928">
        <f>203200+88900+1143000+406400+203200+381000+127000+254000+127000+635000+457200</f>
        <v>4025900</v>
      </c>
      <c r="D17" s="928"/>
      <c r="E17" s="929">
        <f t="shared" si="2"/>
        <v>9740900</v>
      </c>
    </row>
    <row r="18" spans="1:9" x14ac:dyDescent="0.2">
      <c r="A18" s="878" t="s">
        <v>589</v>
      </c>
      <c r="B18" s="928">
        <f>40640+175386+2833050</f>
        <v>3049076</v>
      </c>
      <c r="C18" s="928">
        <f>381000+381000+406400+406400+701544+45720+243840+4840000+2800000</f>
        <v>10205904</v>
      </c>
      <c r="D18" s="928">
        <f>381000+381000+406400+406400+526170+203200+135000+5300000</f>
        <v>7739170</v>
      </c>
      <c r="E18" s="929">
        <f t="shared" si="2"/>
        <v>20994150</v>
      </c>
    </row>
    <row r="19" spans="1:9" x14ac:dyDescent="0.2">
      <c r="A19" s="878" t="s">
        <v>590</v>
      </c>
      <c r="B19" s="928"/>
      <c r="C19" s="928"/>
      <c r="D19" s="928"/>
      <c r="E19" s="929">
        <f t="shared" si="2"/>
        <v>0</v>
      </c>
    </row>
    <row r="20" spans="1:9" x14ac:dyDescent="0.2">
      <c r="A20" s="882" t="s">
        <v>591</v>
      </c>
      <c r="B20" s="928"/>
      <c r="C20" s="928">
        <v>756000</v>
      </c>
      <c r="D20" s="928"/>
      <c r="E20" s="929">
        <f t="shared" si="2"/>
        <v>756000</v>
      </c>
    </row>
    <row r="21" spans="1:9" x14ac:dyDescent="0.2">
      <c r="A21" s="882" t="s">
        <v>592</v>
      </c>
      <c r="B21" s="928"/>
      <c r="C21" s="928"/>
      <c r="D21" s="928"/>
      <c r="E21" s="929">
        <f t="shared" si="2"/>
        <v>0</v>
      </c>
    </row>
    <row r="22" spans="1:9" ht="13.5" thickBot="1" x14ac:dyDescent="0.25">
      <c r="A22" s="879"/>
      <c r="B22" s="930"/>
      <c r="C22" s="930"/>
      <c r="D22" s="930"/>
      <c r="E22" s="929">
        <f t="shared" si="2"/>
        <v>0</v>
      </c>
    </row>
    <row r="23" spans="1:9" ht="13.5" thickBot="1" x14ac:dyDescent="0.25">
      <c r="A23" s="919" t="s">
        <v>52</v>
      </c>
      <c r="B23" s="920">
        <f>SUM(B16:B22)</f>
        <v>8764076</v>
      </c>
      <c r="C23" s="920">
        <f>SUM(C16:C22)</f>
        <v>14987804</v>
      </c>
      <c r="D23" s="920">
        <f>SUM(D16:D22)</f>
        <v>7739170</v>
      </c>
      <c r="E23" s="921">
        <f>SUM(E16:E22)</f>
        <v>31491050</v>
      </c>
      <c r="G23" s="870"/>
      <c r="H23" s="870"/>
      <c r="I23" s="870"/>
    </row>
    <row r="24" spans="1:9" x14ac:dyDescent="0.2">
      <c r="A24" s="900"/>
      <c r="B24" s="900"/>
      <c r="C24" s="900"/>
      <c r="D24" s="900"/>
      <c r="E24" s="900"/>
    </row>
    <row r="25" spans="1:9" ht="48.75" customHeight="1" x14ac:dyDescent="0.25">
      <c r="A25" s="1458" t="s">
        <v>750</v>
      </c>
      <c r="B25" s="1458"/>
      <c r="C25" s="1458"/>
      <c r="D25" s="1458"/>
      <c r="E25" s="1458"/>
    </row>
    <row r="26" spans="1:9" ht="14.25" thickBot="1" x14ac:dyDescent="0.3">
      <c r="A26" s="871"/>
      <c r="B26" s="871"/>
      <c r="C26" s="871"/>
      <c r="D26" s="1459" t="s">
        <v>548</v>
      </c>
      <c r="E26" s="1459"/>
    </row>
    <row r="27" spans="1:9" ht="13.5" thickBot="1" x14ac:dyDescent="0.25">
      <c r="A27" s="916" t="s">
        <v>579</v>
      </c>
      <c r="B27" s="917" t="s">
        <v>861</v>
      </c>
      <c r="C27" s="917" t="s">
        <v>852</v>
      </c>
      <c r="D27" s="917" t="s">
        <v>862</v>
      </c>
      <c r="E27" s="918" t="s">
        <v>51</v>
      </c>
    </row>
    <row r="28" spans="1:9" x14ac:dyDescent="0.2">
      <c r="A28" s="872" t="s">
        <v>580</v>
      </c>
      <c r="B28" s="873"/>
      <c r="C28" s="873"/>
      <c r="D28" s="873"/>
      <c r="E28" s="874">
        <f>B28+C28+D28</f>
        <v>0</v>
      </c>
    </row>
    <row r="29" spans="1:9" x14ac:dyDescent="0.2">
      <c r="A29" s="875" t="s">
        <v>581</v>
      </c>
      <c r="B29" s="876"/>
      <c r="C29" s="876"/>
      <c r="D29" s="876"/>
      <c r="E29" s="877">
        <f t="shared" ref="E29:E34" si="3">B29+C29+D29</f>
        <v>0</v>
      </c>
    </row>
    <row r="30" spans="1:9" x14ac:dyDescent="0.2">
      <c r="A30" s="878" t="s">
        <v>582</v>
      </c>
      <c r="B30" s="928"/>
      <c r="C30" s="928">
        <f>69613780+5168705</f>
        <v>74782485</v>
      </c>
      <c r="D30" s="928"/>
      <c r="E30" s="929">
        <f t="shared" si="3"/>
        <v>74782485</v>
      </c>
    </row>
    <row r="31" spans="1:9" x14ac:dyDescent="0.2">
      <c r="A31" s="878" t="s">
        <v>583</v>
      </c>
      <c r="B31" s="928"/>
      <c r="C31" s="928"/>
      <c r="D31" s="928"/>
      <c r="E31" s="929">
        <f t="shared" si="3"/>
        <v>0</v>
      </c>
    </row>
    <row r="32" spans="1:9" x14ac:dyDescent="0.2">
      <c r="A32" s="878" t="s">
        <v>121</v>
      </c>
      <c r="B32" s="928"/>
      <c r="C32" s="928"/>
      <c r="D32" s="928"/>
      <c r="E32" s="929">
        <f t="shared" si="3"/>
        <v>0</v>
      </c>
    </row>
    <row r="33" spans="1:5" x14ac:dyDescent="0.2">
      <c r="A33" s="878" t="s">
        <v>584</v>
      </c>
      <c r="B33" s="928"/>
      <c r="C33" s="928"/>
      <c r="D33" s="928"/>
      <c r="E33" s="929">
        <f t="shared" si="3"/>
        <v>0</v>
      </c>
    </row>
    <row r="34" spans="1:5" ht="13.5" thickBot="1" x14ac:dyDescent="0.25">
      <c r="A34" s="879"/>
      <c r="B34" s="930"/>
      <c r="C34" s="930"/>
      <c r="D34" s="930"/>
      <c r="E34" s="929">
        <f t="shared" si="3"/>
        <v>0</v>
      </c>
    </row>
    <row r="35" spans="1:5" ht="13.5" thickBot="1" x14ac:dyDescent="0.25">
      <c r="A35" s="919" t="s">
        <v>585</v>
      </c>
      <c r="B35" s="920">
        <f>B28+SUM(B30:B34)</f>
        <v>0</v>
      </c>
      <c r="C35" s="920">
        <f>C28+SUM(C30:C34)</f>
        <v>74782485</v>
      </c>
      <c r="D35" s="920">
        <f>D28+SUM(D30:D34)</f>
        <v>0</v>
      </c>
      <c r="E35" s="921">
        <f>E28+SUM(E30:E34)</f>
        <v>74782485</v>
      </c>
    </row>
    <row r="36" spans="1:5" ht="13.5" thickBot="1" x14ac:dyDescent="0.25">
      <c r="A36" s="880"/>
      <c r="B36" s="880"/>
      <c r="C36" s="880"/>
      <c r="D36" s="880"/>
      <c r="E36" s="880"/>
    </row>
    <row r="37" spans="1:5" ht="13.5" thickBot="1" x14ac:dyDescent="0.25">
      <c r="A37" s="916" t="s">
        <v>586</v>
      </c>
      <c r="B37" s="917" t="s">
        <v>861</v>
      </c>
      <c r="C37" s="917" t="s">
        <v>852</v>
      </c>
      <c r="D37" s="917" t="s">
        <v>862</v>
      </c>
      <c r="E37" s="918" t="s">
        <v>51</v>
      </c>
    </row>
    <row r="38" spans="1:5" x14ac:dyDescent="0.2">
      <c r="A38" s="872" t="s">
        <v>587</v>
      </c>
      <c r="B38" s="873">
        <v>1421258</v>
      </c>
      <c r="C38" s="873">
        <f>62837360</f>
        <v>62837360</v>
      </c>
      <c r="D38" s="873"/>
      <c r="E38" s="874">
        <f t="shared" ref="E38:E44" si="4">B38+C38+D38</f>
        <v>64258618</v>
      </c>
    </row>
    <row r="39" spans="1:5" x14ac:dyDescent="0.2">
      <c r="A39" s="881" t="s">
        <v>588</v>
      </c>
      <c r="B39" s="928"/>
      <c r="C39" s="928">
        <f>1092200+101600+2057400</f>
        <v>3251200</v>
      </c>
      <c r="D39" s="928"/>
      <c r="E39" s="929">
        <f t="shared" si="4"/>
        <v>3251200</v>
      </c>
    </row>
    <row r="40" spans="1:5" x14ac:dyDescent="0.2">
      <c r="A40" s="878" t="s">
        <v>589</v>
      </c>
      <c r="B40" s="928">
        <v>1040000</v>
      </c>
      <c r="C40" s="928">
        <f>8290067-2057400</f>
        <v>6232667</v>
      </c>
      <c r="D40" s="928"/>
      <c r="E40" s="929">
        <f t="shared" si="4"/>
        <v>7272667</v>
      </c>
    </row>
    <row r="41" spans="1:5" x14ac:dyDescent="0.2">
      <c r="A41" s="878" t="s">
        <v>590</v>
      </c>
      <c r="B41" s="928"/>
      <c r="C41" s="928"/>
      <c r="D41" s="928"/>
      <c r="E41" s="929">
        <f t="shared" si="4"/>
        <v>0</v>
      </c>
    </row>
    <row r="42" spans="1:5" x14ac:dyDescent="0.2">
      <c r="A42" s="882" t="s">
        <v>591</v>
      </c>
      <c r="B42" s="928"/>
      <c r="C42" s="928"/>
      <c r="D42" s="928"/>
      <c r="E42" s="929">
        <f t="shared" si="4"/>
        <v>0</v>
      </c>
    </row>
    <row r="43" spans="1:5" x14ac:dyDescent="0.2">
      <c r="A43" s="882" t="s">
        <v>592</v>
      </c>
      <c r="B43" s="928"/>
      <c r="C43" s="928"/>
      <c r="D43" s="928"/>
      <c r="E43" s="929">
        <f t="shared" si="4"/>
        <v>0</v>
      </c>
    </row>
    <row r="44" spans="1:5" ht="13.5" thickBot="1" x14ac:dyDescent="0.25">
      <c r="A44" s="879"/>
      <c r="B44" s="930"/>
      <c r="C44" s="930"/>
      <c r="D44" s="930"/>
      <c r="E44" s="929">
        <f t="shared" si="4"/>
        <v>0</v>
      </c>
    </row>
    <row r="45" spans="1:5" ht="13.5" thickBot="1" x14ac:dyDescent="0.25">
      <c r="A45" s="919" t="s">
        <v>52</v>
      </c>
      <c r="B45" s="920">
        <f>SUM(B38:B44)</f>
        <v>2461258</v>
      </c>
      <c r="C45" s="920">
        <f>SUM(C38:C44)</f>
        <v>72321227</v>
      </c>
      <c r="D45" s="920">
        <f>SUM(D38:D44)</f>
        <v>0</v>
      </c>
      <c r="E45" s="921">
        <f>SUM(E38:E44)</f>
        <v>74782485</v>
      </c>
    </row>
    <row r="46" spans="1:5" x14ac:dyDescent="0.2">
      <c r="A46" s="900"/>
      <c r="B46" s="900"/>
      <c r="C46" s="900"/>
      <c r="D46" s="900"/>
      <c r="E46" s="900"/>
    </row>
  </sheetData>
  <mergeCells count="5">
    <mergeCell ref="A1:E1"/>
    <mergeCell ref="A3:E3"/>
    <mergeCell ref="D4:E4"/>
    <mergeCell ref="A25:E25"/>
    <mergeCell ref="D26:E26"/>
  </mergeCells>
  <conditionalFormatting sqref="G23:I23">
    <cfRule type="cellIs" dxfId="55" priority="6" stopIfTrue="1" operator="equal">
      <formula>0</formula>
    </cfRule>
  </conditionalFormatting>
  <conditionalFormatting sqref="E6:E13 B13:D13 B23:E23 E16:E22">
    <cfRule type="cellIs" dxfId="54" priority="2" stopIfTrue="1" operator="equal">
      <formula>0</formula>
    </cfRule>
  </conditionalFormatting>
  <conditionalFormatting sqref="E28:E35 B35:D35 B45:E45 E38:E44">
    <cfRule type="cellIs" dxfId="5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topLeftCell="A19" zoomScaleSheetLayoutView="115" workbookViewId="0">
      <selection activeCell="F32" sqref="F32"/>
    </sheetView>
  </sheetViews>
  <sheetFormatPr defaultColWidth="9.33203125" defaultRowHeight="12.75" x14ac:dyDescent="0.2"/>
  <cols>
    <col min="1" max="1" width="38.6640625" style="982" customWidth="1"/>
    <col min="2" max="5" width="13.83203125" style="982" customWidth="1"/>
    <col min="6" max="6" width="9.33203125" style="982"/>
    <col min="7" max="7" width="10.1640625" style="982" bestFit="1" customWidth="1"/>
    <col min="8" max="16384" width="9.33203125" style="982"/>
  </cols>
  <sheetData>
    <row r="1" spans="1:5" x14ac:dyDescent="0.2">
      <c r="A1" s="1460" t="str">
        <f>CONCATENATE("8.2. melléklet ",ALAPADATOK!A7," ",ALAPADATOK!B7," ",ALAPADATOK!C7," ",ALAPADATOK!D7," ",ALAPADATOK!E7," ",ALAPADATOK!F7," ",ALAPADATOK!G7," ",ALAPADATOK!H7)</f>
        <v>8.2. melléklet a 2 / 2021. ( II.15. ) önkormányzati rendelethez</v>
      </c>
      <c r="B1" s="1460"/>
      <c r="C1" s="1460"/>
      <c r="D1" s="1460"/>
      <c r="E1" s="1460"/>
    </row>
    <row r="2" spans="1:5" x14ac:dyDescent="0.2">
      <c r="A2" s="981"/>
      <c r="B2" s="981"/>
      <c r="C2" s="981"/>
      <c r="D2" s="981"/>
      <c r="E2" s="981"/>
    </row>
    <row r="3" spans="1:5" ht="56.25" customHeight="1" x14ac:dyDescent="0.25">
      <c r="A3" s="1458" t="s">
        <v>793</v>
      </c>
      <c r="B3" s="1458"/>
      <c r="C3" s="1458"/>
      <c r="D3" s="1458"/>
      <c r="E3" s="1458"/>
    </row>
    <row r="4" spans="1:5" ht="14.25" thickBot="1" x14ac:dyDescent="0.3">
      <c r="A4" s="900"/>
      <c r="B4" s="900"/>
      <c r="C4" s="900"/>
      <c r="D4" s="1459" t="s">
        <v>548</v>
      </c>
      <c r="E4" s="1459"/>
    </row>
    <row r="5" spans="1:5" ht="15" customHeight="1" thickBot="1" x14ac:dyDescent="0.25">
      <c r="A5" s="916" t="s">
        <v>579</v>
      </c>
      <c r="B5" s="917" t="s">
        <v>861</v>
      </c>
      <c r="C5" s="917" t="s">
        <v>852</v>
      </c>
      <c r="D5" s="917" t="s">
        <v>862</v>
      </c>
      <c r="E5" s="918" t="s">
        <v>51</v>
      </c>
    </row>
    <row r="6" spans="1:5" x14ac:dyDescent="0.2">
      <c r="A6" s="886" t="s">
        <v>580</v>
      </c>
      <c r="B6" s="887"/>
      <c r="C6" s="887"/>
      <c r="D6" s="887"/>
      <c r="E6" s="888">
        <f>SUM(B6:D6)</f>
        <v>0</v>
      </c>
    </row>
    <row r="7" spans="1:5" x14ac:dyDescent="0.2">
      <c r="A7" s="889" t="s">
        <v>581</v>
      </c>
      <c r="B7" s="890"/>
      <c r="C7" s="890"/>
      <c r="D7" s="890"/>
      <c r="E7" s="891">
        <f t="shared" ref="E7:E12" si="0">SUM(B7:D7)</f>
        <v>0</v>
      </c>
    </row>
    <row r="8" spans="1:5" x14ac:dyDescent="0.2">
      <c r="A8" s="892" t="s">
        <v>582</v>
      </c>
      <c r="B8" s="893">
        <v>85000000</v>
      </c>
      <c r="C8" s="893"/>
      <c r="D8" s="893"/>
      <c r="E8" s="894">
        <f t="shared" si="0"/>
        <v>85000000</v>
      </c>
    </row>
    <row r="9" spans="1:5" x14ac:dyDescent="0.2">
      <c r="A9" s="892" t="s">
        <v>583</v>
      </c>
      <c r="B9" s="893"/>
      <c r="C9" s="893"/>
      <c r="D9" s="893"/>
      <c r="E9" s="894">
        <f t="shared" si="0"/>
        <v>0</v>
      </c>
    </row>
    <row r="10" spans="1:5" x14ac:dyDescent="0.2">
      <c r="A10" s="892" t="s">
        <v>121</v>
      </c>
      <c r="B10" s="893"/>
      <c r="C10" s="893"/>
      <c r="D10" s="893"/>
      <c r="E10" s="894">
        <f t="shared" si="0"/>
        <v>0</v>
      </c>
    </row>
    <row r="11" spans="1:5" x14ac:dyDescent="0.2">
      <c r="A11" s="892" t="s">
        <v>584</v>
      </c>
      <c r="B11" s="893">
        <v>717804</v>
      </c>
      <c r="C11" s="893"/>
      <c r="D11" s="893"/>
      <c r="E11" s="894">
        <f t="shared" si="0"/>
        <v>717804</v>
      </c>
    </row>
    <row r="12" spans="1:5" ht="13.5" thickBot="1" x14ac:dyDescent="0.25">
      <c r="A12" s="895"/>
      <c r="B12" s="896"/>
      <c r="C12" s="896"/>
      <c r="D12" s="896"/>
      <c r="E12" s="894">
        <f t="shared" si="0"/>
        <v>0</v>
      </c>
    </row>
    <row r="13" spans="1:5" ht="13.5" thickBot="1" x14ac:dyDescent="0.25">
      <c r="A13" s="919" t="s">
        <v>585</v>
      </c>
      <c r="B13" s="897">
        <f>SUM(B6:B12)</f>
        <v>85717804</v>
      </c>
      <c r="C13" s="897">
        <f>SUM(C6:C12)</f>
        <v>0</v>
      </c>
      <c r="D13" s="897">
        <f>SUM(D6:D12)</f>
        <v>0</v>
      </c>
      <c r="E13" s="885">
        <f>SUM(E6:E12)</f>
        <v>85717804</v>
      </c>
    </row>
    <row r="14" spans="1:5" ht="13.5" thickBot="1" x14ac:dyDescent="0.25">
      <c r="A14" s="1402"/>
      <c r="B14" s="1402"/>
      <c r="C14" s="1402"/>
      <c r="D14" s="1402"/>
      <c r="E14" s="1402"/>
    </row>
    <row r="15" spans="1:5" ht="15" customHeight="1" thickBot="1" x14ac:dyDescent="0.25">
      <c r="A15" s="916" t="s">
        <v>586</v>
      </c>
      <c r="B15" s="917" t="str">
        <f>B5</f>
        <v>2021. előtt</v>
      </c>
      <c r="C15" s="917" t="str">
        <f>C5</f>
        <v>2021.</v>
      </c>
      <c r="D15" s="917" t="str">
        <f>D5</f>
        <v>2021. után</v>
      </c>
      <c r="E15" s="918" t="s">
        <v>51</v>
      </c>
    </row>
    <row r="16" spans="1:5" x14ac:dyDescent="0.2">
      <c r="A16" s="886" t="s">
        <v>587</v>
      </c>
      <c r="B16" s="887"/>
      <c r="C16" s="887">
        <v>2125000</v>
      </c>
      <c r="D16" s="887"/>
      <c r="E16" s="888">
        <f t="shared" ref="E16:E17" si="1">SUM(B16:D16)</f>
        <v>2125000</v>
      </c>
    </row>
    <row r="17" spans="1:5" x14ac:dyDescent="0.2">
      <c r="A17" s="898" t="s">
        <v>588</v>
      </c>
      <c r="B17" s="893">
        <v>80820690</v>
      </c>
      <c r="C17" s="893"/>
      <c r="D17" s="893"/>
      <c r="E17" s="894">
        <f t="shared" si="1"/>
        <v>80820690</v>
      </c>
    </row>
    <row r="18" spans="1:5" x14ac:dyDescent="0.2">
      <c r="A18" s="892" t="s">
        <v>589</v>
      </c>
      <c r="B18" s="893">
        <f>1156720+717804</f>
        <v>1874524</v>
      </c>
      <c r="C18" s="514"/>
      <c r="D18" s="893"/>
      <c r="E18" s="894">
        <f>SUM(B18:D18)</f>
        <v>1874524</v>
      </c>
    </row>
    <row r="19" spans="1:5" x14ac:dyDescent="0.2">
      <c r="A19" s="892" t="s">
        <v>590</v>
      </c>
      <c r="B19" s="893"/>
      <c r="C19" s="893"/>
      <c r="D19" s="893"/>
      <c r="E19" s="894">
        <f t="shared" ref="E19:E22" si="2">SUM(B19:D19)</f>
        <v>0</v>
      </c>
    </row>
    <row r="20" spans="1:5" x14ac:dyDescent="0.2">
      <c r="A20" s="899" t="s">
        <v>591</v>
      </c>
      <c r="B20" s="893"/>
      <c r="C20" s="893">
        <v>897590</v>
      </c>
      <c r="D20" s="893"/>
      <c r="E20" s="894">
        <f t="shared" si="2"/>
        <v>897590</v>
      </c>
    </row>
    <row r="21" spans="1:5" x14ac:dyDescent="0.2">
      <c r="A21" s="899" t="s">
        <v>592</v>
      </c>
      <c r="B21" s="893"/>
      <c r="C21" s="893"/>
      <c r="D21" s="893"/>
      <c r="E21" s="894">
        <f t="shared" si="2"/>
        <v>0</v>
      </c>
    </row>
    <row r="22" spans="1:5" ht="13.5" thickBot="1" x14ac:dyDescent="0.25">
      <c r="A22" s="895"/>
      <c r="B22" s="896"/>
      <c r="C22" s="896"/>
      <c r="D22" s="896"/>
      <c r="E22" s="894">
        <f t="shared" si="2"/>
        <v>0</v>
      </c>
    </row>
    <row r="23" spans="1:5" ht="13.5" thickBot="1" x14ac:dyDescent="0.25">
      <c r="A23" s="919" t="s">
        <v>52</v>
      </c>
      <c r="B23" s="897">
        <f>SUM(B16:B22)</f>
        <v>82695214</v>
      </c>
      <c r="C23" s="897">
        <f>SUM(C16:C22)</f>
        <v>3022590</v>
      </c>
      <c r="D23" s="897">
        <f>SUM(D16:D22)</f>
        <v>0</v>
      </c>
      <c r="E23" s="885">
        <f>SUM(E16:E22)</f>
        <v>85717804</v>
      </c>
    </row>
    <row r="24" spans="1:5" x14ac:dyDescent="0.2">
      <c r="A24" s="981"/>
      <c r="B24" s="981"/>
      <c r="C24" s="981"/>
      <c r="D24" s="981"/>
      <c r="E24" s="981"/>
    </row>
    <row r="25" spans="1:5" ht="69" customHeight="1" x14ac:dyDescent="0.25">
      <c r="A25" s="1458" t="s">
        <v>794</v>
      </c>
      <c r="B25" s="1458"/>
      <c r="C25" s="1458"/>
      <c r="D25" s="1458"/>
      <c r="E25" s="1458"/>
    </row>
    <row r="26" spans="1:5" s="788" customFormat="1" ht="14.25" thickBot="1" x14ac:dyDescent="0.3">
      <c r="A26" s="900"/>
      <c r="B26" s="900"/>
      <c r="C26" s="900"/>
      <c r="D26" s="1459" t="s">
        <v>548</v>
      </c>
      <c r="E26" s="1459"/>
    </row>
    <row r="27" spans="1:5" s="788" customFormat="1" ht="13.5" thickBot="1" x14ac:dyDescent="0.25">
      <c r="A27" s="916" t="s">
        <v>579</v>
      </c>
      <c r="B27" s="917" t="s">
        <v>861</v>
      </c>
      <c r="C27" s="917" t="s">
        <v>852</v>
      </c>
      <c r="D27" s="917" t="s">
        <v>862</v>
      </c>
      <c r="E27" s="918" t="s">
        <v>51</v>
      </c>
    </row>
    <row r="28" spans="1:5" s="788" customFormat="1" x14ac:dyDescent="0.2">
      <c r="A28" s="886" t="s">
        <v>580</v>
      </c>
      <c r="B28" s="887"/>
      <c r="C28" s="887">
        <v>39000</v>
      </c>
      <c r="D28" s="887"/>
      <c r="E28" s="874">
        <f>SUM(B28:D28)</f>
        <v>39000</v>
      </c>
    </row>
    <row r="29" spans="1:5" s="788" customFormat="1" x14ac:dyDescent="0.2">
      <c r="A29" s="889" t="s">
        <v>581</v>
      </c>
      <c r="B29" s="890"/>
      <c r="C29" s="890"/>
      <c r="D29" s="890"/>
      <c r="E29" s="877">
        <f t="shared" ref="E29:E34" si="3">SUM(B29:D29)</f>
        <v>0</v>
      </c>
    </row>
    <row r="30" spans="1:5" s="788" customFormat="1" x14ac:dyDescent="0.2">
      <c r="A30" s="892" t="s">
        <v>582</v>
      </c>
      <c r="B30" s="893">
        <v>363618656</v>
      </c>
      <c r="C30" s="893">
        <v>6350000</v>
      </c>
      <c r="D30" s="893"/>
      <c r="E30" s="929">
        <f t="shared" si="3"/>
        <v>369968656</v>
      </c>
    </row>
    <row r="31" spans="1:5" s="788" customFormat="1" x14ac:dyDescent="0.2">
      <c r="A31" s="892" t="s">
        <v>583</v>
      </c>
      <c r="B31" s="893"/>
      <c r="C31" s="893"/>
      <c r="D31" s="893"/>
      <c r="E31" s="929">
        <f t="shared" si="3"/>
        <v>0</v>
      </c>
    </row>
    <row r="32" spans="1:5" s="788" customFormat="1" x14ac:dyDescent="0.2">
      <c r="A32" s="892" t="s">
        <v>121</v>
      </c>
      <c r="B32" s="928"/>
      <c r="C32" s="893"/>
      <c r="D32" s="893"/>
      <c r="E32" s="929">
        <f t="shared" si="3"/>
        <v>0</v>
      </c>
    </row>
    <row r="33" spans="1:7" s="788" customFormat="1" x14ac:dyDescent="0.2">
      <c r="A33" s="892" t="s">
        <v>584</v>
      </c>
      <c r="B33" s="893"/>
      <c r="C33" s="893">
        <v>243600</v>
      </c>
      <c r="D33" s="893"/>
      <c r="E33" s="929">
        <f t="shared" si="3"/>
        <v>243600</v>
      </c>
    </row>
    <row r="34" spans="1:7" s="788" customFormat="1" ht="13.5" thickBot="1" x14ac:dyDescent="0.25">
      <c r="A34" s="895"/>
      <c r="B34" s="896"/>
      <c r="C34" s="896"/>
      <c r="D34" s="896"/>
      <c r="E34" s="929">
        <f t="shared" si="3"/>
        <v>0</v>
      </c>
    </row>
    <row r="35" spans="1:7" s="788" customFormat="1" ht="13.5" thickBot="1" x14ac:dyDescent="0.25">
      <c r="A35" s="919" t="s">
        <v>585</v>
      </c>
      <c r="B35" s="920">
        <f>SUM(B28:B34)</f>
        <v>363618656</v>
      </c>
      <c r="C35" s="920">
        <f>SUM(C28:C34)</f>
        <v>6632600</v>
      </c>
      <c r="D35" s="920">
        <f>SUM(D28:D34)</f>
        <v>0</v>
      </c>
      <c r="E35" s="921">
        <f>SUM(E28:E34)</f>
        <v>370251256</v>
      </c>
    </row>
    <row r="36" spans="1:7" s="788" customFormat="1" ht="13.5" thickBot="1" x14ac:dyDescent="0.25">
      <c r="A36" s="1402"/>
      <c r="B36" s="1402"/>
      <c r="C36" s="1402"/>
      <c r="D36" s="1402"/>
      <c r="E36" s="1402"/>
    </row>
    <row r="37" spans="1:7" s="788" customFormat="1" ht="13.5" thickBot="1" x14ac:dyDescent="0.25">
      <c r="A37" s="916" t="s">
        <v>586</v>
      </c>
      <c r="B37" s="917" t="str">
        <f>B27</f>
        <v>2021. előtt</v>
      </c>
      <c r="C37" s="917" t="str">
        <f>C27</f>
        <v>2021.</v>
      </c>
      <c r="D37" s="917" t="str">
        <f>D27</f>
        <v>2021. után</v>
      </c>
      <c r="E37" s="1403" t="s">
        <v>51</v>
      </c>
    </row>
    <row r="38" spans="1:7" s="788" customFormat="1" x14ac:dyDescent="0.2">
      <c r="A38" s="886" t="s">
        <v>587</v>
      </c>
      <c r="B38" s="887"/>
      <c r="C38" s="887">
        <v>0</v>
      </c>
      <c r="D38" s="887"/>
      <c r="E38" s="888">
        <f t="shared" ref="E38:E44" si="4">SUM(B38:D38)</f>
        <v>0</v>
      </c>
    </row>
    <row r="39" spans="1:7" s="788" customFormat="1" x14ac:dyDescent="0.2">
      <c r="A39" s="898" t="s">
        <v>588</v>
      </c>
      <c r="B39" s="893">
        <v>13381600</v>
      </c>
      <c r="C39" s="893">
        <v>334140192</v>
      </c>
      <c r="D39" s="893"/>
      <c r="E39" s="894">
        <f>SUM(B39:D39)</f>
        <v>347521792</v>
      </c>
    </row>
    <row r="40" spans="1:7" s="788" customFormat="1" x14ac:dyDescent="0.2">
      <c r="A40" s="892" t="s">
        <v>589</v>
      </c>
      <c r="B40" s="893">
        <v>10910905</v>
      </c>
      <c r="C40" s="893">
        <v>5429559</v>
      </c>
      <c r="D40" s="893"/>
      <c r="E40" s="894">
        <f t="shared" si="4"/>
        <v>16340464</v>
      </c>
    </row>
    <row r="41" spans="1:7" s="788" customFormat="1" x14ac:dyDescent="0.2">
      <c r="A41" s="892" t="s">
        <v>590</v>
      </c>
      <c r="B41" s="893"/>
      <c r="C41" s="893">
        <v>39000</v>
      </c>
      <c r="D41" s="893"/>
      <c r="E41" s="894">
        <f t="shared" si="4"/>
        <v>39000</v>
      </c>
    </row>
    <row r="42" spans="1:7" s="788" customFormat="1" x14ac:dyDescent="0.2">
      <c r="A42" s="899" t="s">
        <v>591</v>
      </c>
      <c r="B42" s="893"/>
      <c r="C42" s="893">
        <v>6350000</v>
      </c>
      <c r="D42" s="893"/>
      <c r="E42" s="894">
        <f t="shared" si="4"/>
        <v>6350000</v>
      </c>
    </row>
    <row r="43" spans="1:7" s="788" customFormat="1" x14ac:dyDescent="0.2">
      <c r="A43" s="899" t="s">
        <v>592</v>
      </c>
      <c r="B43" s="928"/>
      <c r="C43" s="893"/>
      <c r="D43" s="893"/>
      <c r="E43" s="894">
        <f t="shared" si="4"/>
        <v>0</v>
      </c>
    </row>
    <row r="44" spans="1:7" s="788" customFormat="1" ht="13.5" thickBot="1" x14ac:dyDescent="0.25">
      <c r="A44" s="895"/>
      <c r="B44" s="896"/>
      <c r="C44" s="896"/>
      <c r="D44" s="896"/>
      <c r="E44" s="894">
        <f t="shared" si="4"/>
        <v>0</v>
      </c>
    </row>
    <row r="45" spans="1:7" s="788" customFormat="1" ht="13.5" thickBot="1" x14ac:dyDescent="0.25">
      <c r="A45" s="919" t="s">
        <v>52</v>
      </c>
      <c r="B45" s="920">
        <f>SUM(B38:B44)</f>
        <v>24292505</v>
      </c>
      <c r="C45" s="920">
        <f>SUM(C38:C44)</f>
        <v>345958751</v>
      </c>
      <c r="D45" s="920">
        <f>SUM(D38:D44)</f>
        <v>0</v>
      </c>
      <c r="E45" s="921">
        <f>SUM(E38:E44)</f>
        <v>370251256</v>
      </c>
      <c r="G45" s="884">
        <f>E35-C45-B45</f>
        <v>0</v>
      </c>
    </row>
    <row r="46" spans="1:7" x14ac:dyDescent="0.2">
      <c r="A46" s="981"/>
      <c r="B46" s="981"/>
      <c r="C46" s="981"/>
      <c r="D46" s="981"/>
      <c r="E46" s="981"/>
    </row>
    <row r="47" spans="1:7" x14ac:dyDescent="0.2">
      <c r="A47" s="789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52" priority="2" stopIfTrue="1" operator="equal">
      <formula>0</formula>
    </cfRule>
  </conditionalFormatting>
  <conditionalFormatting sqref="E28:E35 B35:D35 B45:E45 E38:E44">
    <cfRule type="cellIs" dxfId="5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topLeftCell="A34" zoomScaleSheetLayoutView="85" workbookViewId="0">
      <selection activeCell="E48" sqref="E48"/>
    </sheetView>
  </sheetViews>
  <sheetFormatPr defaultColWidth="9.33203125" defaultRowHeight="12.75" x14ac:dyDescent="0.2"/>
  <cols>
    <col min="1" max="1" width="38.6640625" style="983" customWidth="1"/>
    <col min="2" max="5" width="13.83203125" style="983" customWidth="1"/>
    <col min="6" max="6" width="9.33203125" style="983"/>
    <col min="7" max="7" width="10.1640625" style="983" bestFit="1" customWidth="1"/>
    <col min="8" max="16384" width="9.33203125" style="983"/>
  </cols>
  <sheetData>
    <row r="1" spans="1:5" x14ac:dyDescent="0.2">
      <c r="A1" s="1457" t="str">
        <f>CONCATENATE("8.3. melléklet"," ",ALAPADATOK!A7," ",ALAPADATOK!B7," ",ALAPADATOK!C7," ",ALAPADATOK!D7," ",ALAPADATOK!E7," ",ALAPADATOK!F7," ",ALAPADATOK!G7," ",ALAPADATOK!H7)</f>
        <v>8.3. melléklet a 2 / 2021. ( II.15. ) önkormányzati rendelethez</v>
      </c>
      <c r="B1" s="1457"/>
      <c r="C1" s="1457"/>
      <c r="D1" s="1457"/>
      <c r="E1" s="1457"/>
    </row>
    <row r="2" spans="1:5" x14ac:dyDescent="0.2">
      <c r="A2" s="900"/>
      <c r="B2" s="900"/>
      <c r="C2" s="900"/>
      <c r="D2" s="900"/>
      <c r="E2" s="900"/>
    </row>
    <row r="3" spans="1:5" ht="74.25" customHeight="1" x14ac:dyDescent="0.25">
      <c r="A3" s="1458" t="s">
        <v>795</v>
      </c>
      <c r="B3" s="1458"/>
      <c r="C3" s="1458"/>
      <c r="D3" s="1458"/>
      <c r="E3" s="1458"/>
    </row>
    <row r="4" spans="1:5" ht="14.25" thickBot="1" x14ac:dyDescent="0.3">
      <c r="A4" s="900"/>
      <c r="B4" s="900"/>
      <c r="C4" s="900"/>
      <c r="D4" s="1461" t="s">
        <v>548</v>
      </c>
      <c r="E4" s="1461"/>
    </row>
    <row r="5" spans="1:5" ht="15" customHeight="1" thickBot="1" x14ac:dyDescent="0.25">
      <c r="A5" s="916" t="s">
        <v>579</v>
      </c>
      <c r="B5" s="917" t="s">
        <v>861</v>
      </c>
      <c r="C5" s="917" t="s">
        <v>852</v>
      </c>
      <c r="D5" s="917" t="s">
        <v>862</v>
      </c>
      <c r="E5" s="918" t="s">
        <v>51</v>
      </c>
    </row>
    <row r="6" spans="1:5" x14ac:dyDescent="0.2">
      <c r="A6" s="886" t="s">
        <v>580</v>
      </c>
      <c r="B6" s="887"/>
      <c r="C6" s="887"/>
      <c r="D6" s="887"/>
      <c r="E6" s="888">
        <f>SUM(B6:D6)</f>
        <v>0</v>
      </c>
    </row>
    <row r="7" spans="1:5" x14ac:dyDescent="0.2">
      <c r="A7" s="889" t="s">
        <v>581</v>
      </c>
      <c r="B7" s="890"/>
      <c r="C7" s="890"/>
      <c r="D7" s="890"/>
      <c r="E7" s="891">
        <f t="shared" ref="E7:E13" si="0">SUM(B7:D7)</f>
        <v>0</v>
      </c>
    </row>
    <row r="8" spans="1:5" x14ac:dyDescent="0.2">
      <c r="A8" s="892" t="s">
        <v>582</v>
      </c>
      <c r="B8" s="893">
        <f>16392698+2634996</f>
        <v>19027694</v>
      </c>
      <c r="C8" s="893"/>
      <c r="D8" s="893"/>
      <c r="E8" s="894">
        <f t="shared" si="0"/>
        <v>19027694</v>
      </c>
    </row>
    <row r="9" spans="1:5" x14ac:dyDescent="0.2">
      <c r="A9" s="892" t="s">
        <v>583</v>
      </c>
      <c r="B9" s="893"/>
      <c r="C9" s="893"/>
      <c r="D9" s="893"/>
      <c r="E9" s="894">
        <f t="shared" si="0"/>
        <v>0</v>
      </c>
    </row>
    <row r="10" spans="1:5" x14ac:dyDescent="0.2">
      <c r="A10" s="892" t="s">
        <v>121</v>
      </c>
      <c r="B10" s="928"/>
      <c r="C10" s="893"/>
      <c r="D10" s="893"/>
      <c r="E10" s="894">
        <f t="shared" si="0"/>
        <v>0</v>
      </c>
    </row>
    <row r="11" spans="1:5" x14ac:dyDescent="0.2">
      <c r="A11" s="892" t="s">
        <v>584</v>
      </c>
      <c r="B11" s="893"/>
      <c r="C11" s="928"/>
      <c r="D11" s="928"/>
      <c r="E11" s="929">
        <f t="shared" si="0"/>
        <v>0</v>
      </c>
    </row>
    <row r="12" spans="1:5" ht="13.5" thickBot="1" x14ac:dyDescent="0.25">
      <c r="A12" s="895"/>
      <c r="B12" s="896"/>
      <c r="C12" s="930"/>
      <c r="D12" s="930"/>
      <c r="E12" s="929">
        <f t="shared" si="0"/>
        <v>0</v>
      </c>
    </row>
    <row r="13" spans="1:5" ht="13.5" thickBot="1" x14ac:dyDescent="0.25">
      <c r="A13" s="919" t="s">
        <v>585</v>
      </c>
      <c r="B13" s="897">
        <f>B6+SUM(B8:B12)</f>
        <v>19027694</v>
      </c>
      <c r="C13" s="920">
        <f>C6+SUM(C8:C12)</f>
        <v>0</v>
      </c>
      <c r="D13" s="920">
        <f>D6+SUM(D8:D12)</f>
        <v>0</v>
      </c>
      <c r="E13" s="921">
        <f t="shared" si="0"/>
        <v>19027694</v>
      </c>
    </row>
    <row r="14" spans="1:5" ht="13.5" thickBot="1" x14ac:dyDescent="0.25">
      <c r="A14" s="1402"/>
      <c r="B14" s="1402"/>
      <c r="C14" s="1402"/>
      <c r="D14" s="1402"/>
      <c r="E14" s="1402"/>
    </row>
    <row r="15" spans="1:5" ht="15" customHeight="1" thickBot="1" x14ac:dyDescent="0.25">
      <c r="A15" s="916" t="s">
        <v>586</v>
      </c>
      <c r="B15" s="917" t="str">
        <f>B5</f>
        <v>2021. előtt</v>
      </c>
      <c r="C15" s="917" t="str">
        <f t="shared" ref="C15:D15" si="1">C5</f>
        <v>2021.</v>
      </c>
      <c r="D15" s="917" t="str">
        <f t="shared" si="1"/>
        <v>2021. után</v>
      </c>
      <c r="E15" s="918" t="s">
        <v>51</v>
      </c>
    </row>
    <row r="16" spans="1:5" x14ac:dyDescent="0.2">
      <c r="A16" s="886" t="s">
        <v>587</v>
      </c>
      <c r="B16" s="887"/>
      <c r="C16" s="887">
        <f>406220+63980</f>
        <v>470200</v>
      </c>
      <c r="D16" s="887"/>
      <c r="E16" s="888">
        <f t="shared" ref="E16:E23" si="2">SUM(B16:D16)</f>
        <v>470200</v>
      </c>
    </row>
    <row r="17" spans="1:5" x14ac:dyDescent="0.2">
      <c r="A17" s="898" t="s">
        <v>588</v>
      </c>
      <c r="B17" s="893"/>
      <c r="C17" s="893"/>
      <c r="D17" s="893"/>
      <c r="E17" s="894">
        <f t="shared" si="2"/>
        <v>0</v>
      </c>
    </row>
    <row r="18" spans="1:5" x14ac:dyDescent="0.2">
      <c r="A18" s="892" t="s">
        <v>589</v>
      </c>
      <c r="B18" s="893">
        <f>635000+4476750+4476750</f>
        <v>9588500</v>
      </c>
      <c r="C18" s="893">
        <f>17907000-B18+635000</f>
        <v>8953500</v>
      </c>
      <c r="D18" s="893"/>
      <c r="E18" s="894">
        <f t="shared" si="2"/>
        <v>18542000</v>
      </c>
    </row>
    <row r="19" spans="1:5" x14ac:dyDescent="0.2">
      <c r="A19" s="892" t="s">
        <v>590</v>
      </c>
      <c r="B19" s="893"/>
      <c r="C19" s="893"/>
      <c r="D19" s="893"/>
      <c r="E19" s="894">
        <f t="shared" si="2"/>
        <v>0</v>
      </c>
    </row>
    <row r="20" spans="1:5" x14ac:dyDescent="0.2">
      <c r="A20" s="899" t="s">
        <v>869</v>
      </c>
      <c r="B20" s="893"/>
      <c r="C20" s="893">
        <v>15494</v>
      </c>
      <c r="D20" s="893"/>
      <c r="E20" s="894">
        <f t="shared" si="2"/>
        <v>15494</v>
      </c>
    </row>
    <row r="21" spans="1:5" x14ac:dyDescent="0.2">
      <c r="A21" s="899" t="s">
        <v>592</v>
      </c>
      <c r="B21" s="928"/>
      <c r="C21" s="893"/>
      <c r="D21" s="893"/>
      <c r="E21" s="894">
        <f t="shared" si="2"/>
        <v>0</v>
      </c>
    </row>
    <row r="22" spans="1:5" ht="13.5" thickBot="1" x14ac:dyDescent="0.25">
      <c r="A22" s="895"/>
      <c r="B22" s="896"/>
      <c r="C22" s="896"/>
      <c r="D22" s="896"/>
      <c r="E22" s="894">
        <f t="shared" si="2"/>
        <v>0</v>
      </c>
    </row>
    <row r="23" spans="1:5" ht="13.5" thickBot="1" x14ac:dyDescent="0.25">
      <c r="A23" s="919" t="s">
        <v>52</v>
      </c>
      <c r="B23" s="920">
        <f>SUM(B16:B22)</f>
        <v>9588500</v>
      </c>
      <c r="C23" s="920">
        <f>SUM(C16:C22)</f>
        <v>9439194</v>
      </c>
      <c r="D23" s="920">
        <f>SUM(D16:D22)</f>
        <v>0</v>
      </c>
      <c r="E23" s="921">
        <f t="shared" si="2"/>
        <v>19027694</v>
      </c>
    </row>
    <row r="24" spans="1:5" x14ac:dyDescent="0.2">
      <c r="A24" s="900"/>
      <c r="B24" s="900"/>
      <c r="C24" s="900"/>
      <c r="D24" s="900"/>
      <c r="E24" s="900"/>
    </row>
    <row r="25" spans="1:5" ht="48.75" customHeight="1" x14ac:dyDescent="0.25">
      <c r="A25" s="1458" t="s">
        <v>796</v>
      </c>
      <c r="B25" s="1458"/>
      <c r="C25" s="1458"/>
      <c r="D25" s="1458"/>
      <c r="E25" s="1458"/>
    </row>
    <row r="26" spans="1:5" ht="14.25" thickBot="1" x14ac:dyDescent="0.3">
      <c r="A26" s="871"/>
      <c r="B26" s="871"/>
      <c r="C26" s="871"/>
      <c r="D26" s="1459" t="s">
        <v>548</v>
      </c>
      <c r="E26" s="1459"/>
    </row>
    <row r="27" spans="1:5" ht="13.5" thickBot="1" x14ac:dyDescent="0.25">
      <c r="A27" s="916" t="s">
        <v>579</v>
      </c>
      <c r="B27" s="917" t="s">
        <v>861</v>
      </c>
      <c r="C27" s="917" t="s">
        <v>852</v>
      </c>
      <c r="D27" s="917" t="s">
        <v>862</v>
      </c>
      <c r="E27" s="918" t="s">
        <v>51</v>
      </c>
    </row>
    <row r="28" spans="1:5" x14ac:dyDescent="0.2">
      <c r="A28" s="872" t="s">
        <v>580</v>
      </c>
      <c r="B28" s="873"/>
      <c r="C28" s="873"/>
      <c r="D28" s="873"/>
      <c r="E28" s="874">
        <f>SUM(B28:D28)</f>
        <v>0</v>
      </c>
    </row>
    <row r="29" spans="1:5" x14ac:dyDescent="0.2">
      <c r="A29" s="875" t="s">
        <v>581</v>
      </c>
      <c r="B29" s="876"/>
      <c r="C29" s="876"/>
      <c r="D29" s="876"/>
      <c r="E29" s="929">
        <f t="shared" ref="E29:E35" si="3">SUM(B29:D29)</f>
        <v>0</v>
      </c>
    </row>
    <row r="30" spans="1:5" x14ac:dyDescent="0.2">
      <c r="A30" s="878" t="s">
        <v>582</v>
      </c>
      <c r="B30" s="928">
        <v>168611550</v>
      </c>
      <c r="C30" s="928">
        <v>6985000</v>
      </c>
      <c r="D30" s="928"/>
      <c r="E30" s="929">
        <f t="shared" si="3"/>
        <v>175596550</v>
      </c>
    </row>
    <row r="31" spans="1:5" x14ac:dyDescent="0.2">
      <c r="A31" s="878" t="s">
        <v>583</v>
      </c>
      <c r="B31" s="928"/>
      <c r="C31" s="928"/>
      <c r="D31" s="928"/>
      <c r="E31" s="929">
        <f t="shared" si="3"/>
        <v>0</v>
      </c>
    </row>
    <row r="32" spans="1:5" x14ac:dyDescent="0.2">
      <c r="A32" s="878" t="s">
        <v>121</v>
      </c>
      <c r="B32" s="928"/>
      <c r="C32" s="928"/>
      <c r="D32" s="928"/>
      <c r="E32" s="929">
        <f t="shared" si="3"/>
        <v>0</v>
      </c>
    </row>
    <row r="33" spans="1:5" x14ac:dyDescent="0.2">
      <c r="A33" s="878" t="s">
        <v>584</v>
      </c>
      <c r="B33" s="928"/>
      <c r="C33" s="928"/>
      <c r="D33" s="928"/>
      <c r="E33" s="929">
        <f t="shared" si="3"/>
        <v>0</v>
      </c>
    </row>
    <row r="34" spans="1:5" ht="13.5" thickBot="1" x14ac:dyDescent="0.25">
      <c r="A34" s="879"/>
      <c r="B34" s="930"/>
      <c r="C34" s="930"/>
      <c r="D34" s="930"/>
      <c r="E34" s="929">
        <f t="shared" si="3"/>
        <v>0</v>
      </c>
    </row>
    <row r="35" spans="1:5" ht="13.5" thickBot="1" x14ac:dyDescent="0.25">
      <c r="A35" s="919" t="s">
        <v>585</v>
      </c>
      <c r="B35" s="920">
        <f>SUM(B28:B34)</f>
        <v>168611550</v>
      </c>
      <c r="C35" s="920">
        <f>SUM(C28:C34)</f>
        <v>6985000</v>
      </c>
      <c r="D35" s="920">
        <f>SUM(D28:D34)</f>
        <v>0</v>
      </c>
      <c r="E35" s="921">
        <f t="shared" si="3"/>
        <v>175596550</v>
      </c>
    </row>
    <row r="36" spans="1:5" ht="13.5" thickBot="1" x14ac:dyDescent="0.25">
      <c r="A36" s="880"/>
      <c r="B36" s="880"/>
      <c r="C36" s="880"/>
      <c r="D36" s="880"/>
      <c r="E36" s="880"/>
    </row>
    <row r="37" spans="1:5" ht="13.5" thickBot="1" x14ac:dyDescent="0.25">
      <c r="A37" s="916" t="s">
        <v>586</v>
      </c>
      <c r="B37" s="917" t="str">
        <f>B27</f>
        <v>2021. előtt</v>
      </c>
      <c r="C37" s="917" t="str">
        <f>C27</f>
        <v>2021.</v>
      </c>
      <c r="D37" s="917" t="str">
        <f>D27</f>
        <v>2021. után</v>
      </c>
      <c r="E37" s="918" t="s">
        <v>51</v>
      </c>
    </row>
    <row r="38" spans="1:5" x14ac:dyDescent="0.2">
      <c r="A38" s="872" t="s">
        <v>587</v>
      </c>
      <c r="B38" s="873"/>
      <c r="C38" s="873"/>
      <c r="D38" s="873"/>
      <c r="E38" s="874">
        <f t="shared" ref="E38:E45" si="4">SUM(B38:D38)</f>
        <v>0</v>
      </c>
    </row>
    <row r="39" spans="1:5" x14ac:dyDescent="0.2">
      <c r="A39" s="881" t="s">
        <v>588</v>
      </c>
      <c r="B39" s="928">
        <v>8103000</v>
      </c>
      <c r="C39" s="928">
        <v>132077297</v>
      </c>
      <c r="D39" s="928"/>
      <c r="E39" s="929">
        <f t="shared" si="4"/>
        <v>140180297</v>
      </c>
    </row>
    <row r="40" spans="1:5" x14ac:dyDescent="0.2">
      <c r="A40" s="878" t="s">
        <v>589</v>
      </c>
      <c r="B40" s="928">
        <v>2825750</v>
      </c>
      <c r="C40" s="928">
        <v>3549650</v>
      </c>
      <c r="D40" s="928"/>
      <c r="E40" s="929">
        <f t="shared" si="4"/>
        <v>6375400</v>
      </c>
    </row>
    <row r="41" spans="1:5" x14ac:dyDescent="0.2">
      <c r="A41" s="878" t="s">
        <v>590</v>
      </c>
      <c r="B41" s="928"/>
      <c r="C41" s="928"/>
      <c r="D41" s="928"/>
      <c r="E41" s="929">
        <f t="shared" si="4"/>
        <v>0</v>
      </c>
    </row>
    <row r="42" spans="1:5" x14ac:dyDescent="0.2">
      <c r="A42" s="882" t="s">
        <v>591</v>
      </c>
      <c r="B42" s="928"/>
      <c r="C42" s="928">
        <f>6985000</f>
        <v>6985000</v>
      </c>
      <c r="D42" s="928"/>
      <c r="E42" s="929">
        <f t="shared" si="4"/>
        <v>6985000</v>
      </c>
    </row>
    <row r="43" spans="1:5" x14ac:dyDescent="0.2">
      <c r="A43" s="882" t="s">
        <v>592</v>
      </c>
      <c r="B43" s="928"/>
      <c r="C43" s="928">
        <f>10800000+11255853</f>
        <v>22055853</v>
      </c>
      <c r="D43" s="928"/>
      <c r="E43" s="929">
        <f t="shared" si="4"/>
        <v>22055853</v>
      </c>
    </row>
    <row r="44" spans="1:5" ht="13.5" thickBot="1" x14ac:dyDescent="0.25">
      <c r="A44" s="879"/>
      <c r="B44" s="930"/>
      <c r="C44" s="930"/>
      <c r="D44" s="930"/>
      <c r="E44" s="929">
        <f t="shared" si="4"/>
        <v>0</v>
      </c>
    </row>
    <row r="45" spans="1:5" ht="13.5" thickBot="1" x14ac:dyDescent="0.25">
      <c r="A45" s="919" t="s">
        <v>52</v>
      </c>
      <c r="B45" s="920">
        <f>SUM(B38:B44)</f>
        <v>10928750</v>
      </c>
      <c r="C45" s="920">
        <f>SUM(C38:C44)</f>
        <v>164667800</v>
      </c>
      <c r="D45" s="920">
        <f>SUM(D38:D44)</f>
        <v>0</v>
      </c>
      <c r="E45" s="921">
        <f t="shared" si="4"/>
        <v>175596550</v>
      </c>
    </row>
    <row r="46" spans="1:5" x14ac:dyDescent="0.2">
      <c r="A46" s="900"/>
      <c r="B46" s="900"/>
      <c r="C46" s="900"/>
      <c r="D46" s="900"/>
      <c r="E46" s="900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50" priority="2" stopIfTrue="1" operator="equal">
      <formula>0</formula>
    </cfRule>
  </conditionalFormatting>
  <conditionalFormatting sqref="E28:E35 B35:D35 B45:E45 E38:E44">
    <cfRule type="cellIs" dxfId="4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19" zoomScaleSheetLayoutView="85" workbookViewId="0">
      <selection activeCell="D34" sqref="D34"/>
    </sheetView>
  </sheetViews>
  <sheetFormatPr defaultColWidth="9.33203125" defaultRowHeight="12.75" x14ac:dyDescent="0.2"/>
  <cols>
    <col min="1" max="1" width="38.6640625" style="982" customWidth="1"/>
    <col min="2" max="5" width="13.83203125" style="982" customWidth="1"/>
    <col min="6" max="16384" width="9.33203125" style="982"/>
  </cols>
  <sheetData>
    <row r="1" spans="1:6" x14ac:dyDescent="0.2">
      <c r="A1" s="1460" t="str">
        <f>CONCATENATE("8.4. melléklet ",ALAPADATOK!A7," ",ALAPADATOK!B7," ",ALAPADATOK!C7," ",ALAPADATOK!D7," ",ALAPADATOK!E7," ",ALAPADATOK!F7," ",ALAPADATOK!G7," ",ALAPADATOK!H7)</f>
        <v>8.4. melléklet a 2 / 2021. ( II.15. ) önkormányzati rendelethez</v>
      </c>
      <c r="B1" s="1460"/>
      <c r="C1" s="1460"/>
      <c r="D1" s="1460"/>
      <c r="E1" s="1460"/>
    </row>
    <row r="2" spans="1:6" x14ac:dyDescent="0.2">
      <c r="A2" s="981"/>
      <c r="B2" s="981"/>
      <c r="C2" s="981"/>
      <c r="D2" s="981"/>
      <c r="E2" s="981"/>
    </row>
    <row r="3" spans="1:6" ht="74.25" customHeight="1" x14ac:dyDescent="0.2">
      <c r="A3" s="1462" t="s">
        <v>1017</v>
      </c>
      <c r="B3" s="1462"/>
      <c r="C3" s="1462"/>
      <c r="D3" s="1462"/>
      <c r="E3" s="1462"/>
      <c r="F3" s="983"/>
    </row>
    <row r="4" spans="1:6" ht="14.25" thickBot="1" x14ac:dyDescent="0.3">
      <c r="A4" s="984"/>
      <c r="B4" s="984"/>
      <c r="C4" s="984"/>
      <c r="D4" s="1463" t="s">
        <v>548</v>
      </c>
      <c r="E4" s="1463"/>
      <c r="F4" s="983"/>
    </row>
    <row r="5" spans="1:6" ht="15" customHeight="1" thickBot="1" x14ac:dyDescent="0.25">
      <c r="A5" s="985" t="s">
        <v>579</v>
      </c>
      <c r="B5" s="986" t="s">
        <v>861</v>
      </c>
      <c r="C5" s="986" t="s">
        <v>852</v>
      </c>
      <c r="D5" s="986" t="s">
        <v>862</v>
      </c>
      <c r="E5" s="987" t="s">
        <v>51</v>
      </c>
      <c r="F5" s="983"/>
    </row>
    <row r="6" spans="1:6" x14ac:dyDescent="0.2">
      <c r="A6" s="988" t="s">
        <v>580</v>
      </c>
      <c r="B6" s="989">
        <v>335000</v>
      </c>
      <c r="C6" s="989">
        <v>4581667</v>
      </c>
      <c r="D6" s="989"/>
      <c r="E6" s="929">
        <f t="shared" ref="E6:E8" si="0">SUM(B6:D6)</f>
        <v>4916667</v>
      </c>
      <c r="F6" s="983"/>
    </row>
    <row r="7" spans="1:6" x14ac:dyDescent="0.2">
      <c r="A7" s="990" t="s">
        <v>581</v>
      </c>
      <c r="B7" s="991"/>
      <c r="C7" s="991"/>
      <c r="D7" s="991"/>
      <c r="E7" s="929">
        <f t="shared" si="0"/>
        <v>0</v>
      </c>
      <c r="F7" s="983"/>
    </row>
    <row r="8" spans="1:6" x14ac:dyDescent="0.2">
      <c r="A8" s="992" t="s">
        <v>582</v>
      </c>
      <c r="B8" s="993"/>
      <c r="C8" s="993">
        <v>44249999</v>
      </c>
      <c r="D8" s="993"/>
      <c r="E8" s="929">
        <f t="shared" si="0"/>
        <v>44249999</v>
      </c>
      <c r="F8" s="983"/>
    </row>
    <row r="9" spans="1:6" x14ac:dyDescent="0.2">
      <c r="A9" s="992" t="s">
        <v>583</v>
      </c>
      <c r="B9" s="993"/>
      <c r="C9" s="993"/>
      <c r="D9" s="993"/>
      <c r="E9" s="995">
        <v>0</v>
      </c>
      <c r="F9" s="983"/>
    </row>
    <row r="10" spans="1:6" x14ac:dyDescent="0.2">
      <c r="A10" s="992" t="s">
        <v>121</v>
      </c>
      <c r="B10" s="993"/>
      <c r="C10" s="993"/>
      <c r="D10" s="993"/>
      <c r="E10" s="995">
        <v>0</v>
      </c>
      <c r="F10" s="983"/>
    </row>
    <row r="11" spans="1:6" x14ac:dyDescent="0.2">
      <c r="A11" s="992" t="s">
        <v>584</v>
      </c>
      <c r="B11" s="993"/>
      <c r="C11" s="993"/>
      <c r="D11" s="993"/>
      <c r="E11" s="995">
        <v>0</v>
      </c>
      <c r="F11" s="983"/>
    </row>
    <row r="12" spans="1:6" ht="13.5" thickBot="1" x14ac:dyDescent="0.25">
      <c r="A12" s="996"/>
      <c r="B12" s="997"/>
      <c r="C12" s="997"/>
      <c r="D12" s="997"/>
      <c r="E12" s="995">
        <v>0</v>
      </c>
      <c r="F12" s="983"/>
    </row>
    <row r="13" spans="1:6" ht="13.5" thickBot="1" x14ac:dyDescent="0.25">
      <c r="A13" s="998" t="s">
        <v>585</v>
      </c>
      <c r="B13" s="920">
        <f>SUM(B6:B12)</f>
        <v>335000</v>
      </c>
      <c r="C13" s="920">
        <f>SUM(C6:C12)</f>
        <v>48831666</v>
      </c>
      <c r="D13" s="920">
        <f>SUM(D6:D12)</f>
        <v>0</v>
      </c>
      <c r="E13" s="920">
        <f>SUM(E6:E12)</f>
        <v>49166666</v>
      </c>
      <c r="F13" s="983"/>
    </row>
    <row r="14" spans="1:6" ht="13.5" thickBot="1" x14ac:dyDescent="0.25">
      <c r="A14" s="999"/>
      <c r="B14" s="999"/>
      <c r="C14" s="999"/>
      <c r="D14" s="999"/>
      <c r="E14" s="999"/>
      <c r="F14" s="983"/>
    </row>
    <row r="15" spans="1:6" ht="15" customHeight="1" thickBot="1" x14ac:dyDescent="0.25">
      <c r="A15" s="985" t="s">
        <v>586</v>
      </c>
      <c r="B15" s="986" t="s">
        <v>861</v>
      </c>
      <c r="C15" s="986" t="s">
        <v>852</v>
      </c>
      <c r="D15" s="986" t="s">
        <v>862</v>
      </c>
      <c r="E15" s="987" t="s">
        <v>51</v>
      </c>
      <c r="F15" s="983"/>
    </row>
    <row r="16" spans="1:6" x14ac:dyDescent="0.2">
      <c r="A16" s="988" t="s">
        <v>587</v>
      </c>
      <c r="B16" s="989"/>
      <c r="C16" s="989"/>
      <c r="D16" s="989"/>
      <c r="E16" s="929">
        <f t="shared" ref="E16:E22" si="1">SUM(B16:D16)</f>
        <v>0</v>
      </c>
      <c r="F16" s="983"/>
    </row>
    <row r="17" spans="1:6" x14ac:dyDescent="0.2">
      <c r="A17" s="1001" t="s">
        <v>588</v>
      </c>
      <c r="B17" s="993">
        <v>335000</v>
      </c>
      <c r="C17" s="993">
        <v>48583956</v>
      </c>
      <c r="D17" s="993"/>
      <c r="E17" s="929">
        <f t="shared" si="1"/>
        <v>48918956</v>
      </c>
      <c r="F17" s="983"/>
    </row>
    <row r="18" spans="1:6" x14ac:dyDescent="0.2">
      <c r="A18" s="992" t="s">
        <v>589</v>
      </c>
      <c r="B18" s="993"/>
      <c r="C18" s="993">
        <v>247710</v>
      </c>
      <c r="D18" s="993"/>
      <c r="E18" s="929">
        <f t="shared" si="1"/>
        <v>247710</v>
      </c>
      <c r="F18" s="983"/>
    </row>
    <row r="19" spans="1:6" x14ac:dyDescent="0.2">
      <c r="A19" s="992" t="s">
        <v>590</v>
      </c>
      <c r="B19" s="993"/>
      <c r="C19" s="993"/>
      <c r="D19" s="993"/>
      <c r="E19" s="929">
        <f t="shared" si="1"/>
        <v>0</v>
      </c>
      <c r="F19" s="983"/>
    </row>
    <row r="20" spans="1:6" x14ac:dyDescent="0.2">
      <c r="A20" s="1002" t="s">
        <v>591</v>
      </c>
      <c r="B20" s="993"/>
      <c r="C20" s="993"/>
      <c r="D20" s="993"/>
      <c r="E20" s="929">
        <f t="shared" si="1"/>
        <v>0</v>
      </c>
      <c r="F20" s="983"/>
    </row>
    <row r="21" spans="1:6" x14ac:dyDescent="0.2">
      <c r="A21" s="1002" t="s">
        <v>592</v>
      </c>
      <c r="B21" s="993"/>
      <c r="C21" s="993"/>
      <c r="D21" s="993"/>
      <c r="E21" s="929">
        <f t="shared" si="1"/>
        <v>0</v>
      </c>
      <c r="F21" s="983"/>
    </row>
    <row r="22" spans="1:6" ht="13.5" thickBot="1" x14ac:dyDescent="0.25">
      <c r="A22" s="996"/>
      <c r="B22" s="997"/>
      <c r="C22" s="997"/>
      <c r="D22" s="997"/>
      <c r="E22" s="929">
        <f t="shared" si="1"/>
        <v>0</v>
      </c>
      <c r="F22" s="983"/>
    </row>
    <row r="23" spans="1:6" ht="13.5" thickBot="1" x14ac:dyDescent="0.25">
      <c r="A23" s="998" t="s">
        <v>52</v>
      </c>
      <c r="B23" s="920">
        <f>SUM(B16:B22)</f>
        <v>335000</v>
      </c>
      <c r="C23" s="920">
        <f>SUM(C16:C22)</f>
        <v>48831666</v>
      </c>
      <c r="D23" s="920">
        <f>SUM(D16:D22)</f>
        <v>0</v>
      </c>
      <c r="E23" s="920">
        <f>SUM(E16:E22)</f>
        <v>49166666</v>
      </c>
      <c r="F23" s="983"/>
    </row>
    <row r="24" spans="1:6" x14ac:dyDescent="0.2">
      <c r="A24" s="981"/>
      <c r="B24" s="981"/>
      <c r="C24" s="981"/>
      <c r="D24" s="981"/>
      <c r="E24" s="981"/>
    </row>
    <row r="25" spans="1:6" ht="48.75" customHeight="1" x14ac:dyDescent="0.25">
      <c r="A25" s="1464" t="s">
        <v>1018</v>
      </c>
      <c r="B25" s="1464"/>
      <c r="C25" s="1464"/>
      <c r="D25" s="1464"/>
      <c r="E25" s="1464"/>
    </row>
    <row r="26" spans="1:6" ht="14.25" thickBot="1" x14ac:dyDescent="0.3">
      <c r="A26" s="984"/>
      <c r="B26" s="984"/>
      <c r="C26" s="984"/>
      <c r="D26" s="1463" t="s">
        <v>548</v>
      </c>
      <c r="E26" s="1463"/>
    </row>
    <row r="27" spans="1:6" ht="13.5" thickBot="1" x14ac:dyDescent="0.25">
      <c r="A27" s="985" t="s">
        <v>579</v>
      </c>
      <c r="B27" s="917" t="s">
        <v>861</v>
      </c>
      <c r="C27" s="917" t="s">
        <v>852</v>
      </c>
      <c r="D27" s="917" t="s">
        <v>862</v>
      </c>
      <c r="E27" s="918" t="s">
        <v>51</v>
      </c>
    </row>
    <row r="28" spans="1:6" x14ac:dyDescent="0.2">
      <c r="A28" s="988" t="s">
        <v>580</v>
      </c>
      <c r="B28" s="989"/>
      <c r="C28" s="1000">
        <v>444400</v>
      </c>
      <c r="D28" s="989"/>
      <c r="E28" s="874">
        <f>SUM(B28:D28)</f>
        <v>444400</v>
      </c>
    </row>
    <row r="29" spans="1:6" x14ac:dyDescent="0.2">
      <c r="A29" s="990" t="s">
        <v>581</v>
      </c>
      <c r="B29" s="991"/>
      <c r="C29" s="991"/>
      <c r="D29" s="991"/>
      <c r="E29" s="929">
        <f t="shared" ref="E29:E34" si="2">SUM(B29:D29)</f>
        <v>0</v>
      </c>
    </row>
    <row r="30" spans="1:6" x14ac:dyDescent="0.2">
      <c r="A30" s="992" t="s">
        <v>582</v>
      </c>
      <c r="B30" s="993"/>
      <c r="C30" s="994">
        <v>3999600</v>
      </c>
      <c r="D30" s="993"/>
      <c r="E30" s="929">
        <f t="shared" si="2"/>
        <v>3999600</v>
      </c>
    </row>
    <row r="31" spans="1:6" x14ac:dyDescent="0.2">
      <c r="A31" s="992" t="s">
        <v>583</v>
      </c>
      <c r="B31" s="993"/>
      <c r="C31" s="993"/>
      <c r="D31" s="993"/>
      <c r="E31" s="929">
        <f t="shared" si="2"/>
        <v>0</v>
      </c>
    </row>
    <row r="32" spans="1:6" x14ac:dyDescent="0.2">
      <c r="A32" s="992" t="s">
        <v>121</v>
      </c>
      <c r="B32" s="993"/>
      <c r="C32" s="993"/>
      <c r="D32" s="993"/>
      <c r="E32" s="929">
        <f t="shared" si="2"/>
        <v>0</v>
      </c>
    </row>
    <row r="33" spans="1:5" x14ac:dyDescent="0.2">
      <c r="A33" s="992" t="s">
        <v>584</v>
      </c>
      <c r="B33" s="993"/>
      <c r="C33" s="993"/>
      <c r="D33" s="993"/>
      <c r="E33" s="929">
        <f t="shared" si="2"/>
        <v>0</v>
      </c>
    </row>
    <row r="34" spans="1:5" ht="13.5" thickBot="1" x14ac:dyDescent="0.25">
      <c r="A34" s="996"/>
      <c r="B34" s="997"/>
      <c r="C34" s="997"/>
      <c r="D34" s="997"/>
      <c r="E34" s="1401">
        <f t="shared" si="2"/>
        <v>0</v>
      </c>
    </row>
    <row r="35" spans="1:5" ht="13.5" thickBot="1" x14ac:dyDescent="0.25">
      <c r="A35" s="998" t="s">
        <v>585</v>
      </c>
      <c r="B35" s="920">
        <f>SUM(B28:B34)</f>
        <v>0</v>
      </c>
      <c r="C35" s="920">
        <f>SUM(C28:C34)</f>
        <v>4444000</v>
      </c>
      <c r="D35" s="920">
        <f>SUM(D28:D34)</f>
        <v>0</v>
      </c>
      <c r="E35" s="921">
        <f>SUM(E28:E34)</f>
        <v>4444000</v>
      </c>
    </row>
    <row r="36" spans="1:5" ht="13.5" thickBot="1" x14ac:dyDescent="0.25">
      <c r="A36" s="999"/>
      <c r="B36" s="999"/>
      <c r="C36" s="999"/>
      <c r="D36" s="999"/>
      <c r="E36" s="999"/>
    </row>
    <row r="37" spans="1:5" ht="13.5" thickBot="1" x14ac:dyDescent="0.25">
      <c r="A37" s="985" t="s">
        <v>586</v>
      </c>
      <c r="B37" s="917" t="s">
        <v>861</v>
      </c>
      <c r="C37" s="917" t="s">
        <v>852</v>
      </c>
      <c r="D37" s="917" t="s">
        <v>862</v>
      </c>
      <c r="E37" s="918" t="s">
        <v>51</v>
      </c>
    </row>
    <row r="38" spans="1:5" x14ac:dyDescent="0.2">
      <c r="A38" s="988" t="s">
        <v>587</v>
      </c>
      <c r="B38" s="989"/>
      <c r="C38" s="1000">
        <v>196850</v>
      </c>
      <c r="D38" s="989"/>
      <c r="E38" s="874">
        <f>SUM(B38:D38)</f>
        <v>196850</v>
      </c>
    </row>
    <row r="39" spans="1:5" x14ac:dyDescent="0.2">
      <c r="A39" s="1001" t="s">
        <v>588</v>
      </c>
      <c r="B39" s="993"/>
      <c r="C39" s="994">
        <v>2197788</v>
      </c>
      <c r="D39" s="993"/>
      <c r="E39" s="929">
        <f>SUM(B39:D39)</f>
        <v>2197788</v>
      </c>
    </row>
    <row r="40" spans="1:5" x14ac:dyDescent="0.2">
      <c r="A40" s="992" t="s">
        <v>589</v>
      </c>
      <c r="B40" s="993"/>
      <c r="C40" s="994">
        <v>2049362</v>
      </c>
      <c r="D40" s="993"/>
      <c r="E40" s="929">
        <f>SUM(B40:D40)</f>
        <v>2049362</v>
      </c>
    </row>
    <row r="41" spans="1:5" x14ac:dyDescent="0.2">
      <c r="A41" s="992" t="s">
        <v>590</v>
      </c>
      <c r="B41" s="993"/>
      <c r="C41" s="993"/>
      <c r="D41" s="993"/>
      <c r="E41" s="929">
        <f>SUM(B41:D41)</f>
        <v>0</v>
      </c>
    </row>
    <row r="42" spans="1:5" x14ac:dyDescent="0.2">
      <c r="A42" s="1002" t="s">
        <v>591</v>
      </c>
      <c r="B42" s="993"/>
      <c r="C42" s="993"/>
      <c r="D42" s="993"/>
      <c r="E42" s="1401">
        <f>SUM(B42:D42)</f>
        <v>0</v>
      </c>
    </row>
    <row r="43" spans="1:5" x14ac:dyDescent="0.2">
      <c r="A43" s="1002" t="s">
        <v>592</v>
      </c>
      <c r="B43" s="993"/>
      <c r="C43" s="993"/>
      <c r="D43" s="993"/>
      <c r="E43" s="995">
        <v>0</v>
      </c>
    </row>
    <row r="44" spans="1:5" ht="13.5" thickBot="1" x14ac:dyDescent="0.25">
      <c r="A44" s="996"/>
      <c r="B44" s="997"/>
      <c r="C44" s="997"/>
      <c r="D44" s="997"/>
      <c r="E44" s="995">
        <v>0</v>
      </c>
    </row>
    <row r="45" spans="1:5" ht="13.5" thickBot="1" x14ac:dyDescent="0.25">
      <c r="A45" s="998" t="s">
        <v>52</v>
      </c>
      <c r="B45" s="920">
        <f>SUM(B38:B44)</f>
        <v>0</v>
      </c>
      <c r="C45" s="920">
        <f>SUM(C38:C44)</f>
        <v>4444000</v>
      </c>
      <c r="D45" s="920">
        <f>SUM(D38:D44)</f>
        <v>0</v>
      </c>
      <c r="E45" s="921">
        <f>SUM(E38:E44)</f>
        <v>4444000</v>
      </c>
    </row>
    <row r="46" spans="1:5" x14ac:dyDescent="0.2">
      <c r="A46" s="981"/>
      <c r="B46" s="981"/>
      <c r="C46" s="981"/>
      <c r="D46" s="981"/>
      <c r="E46" s="981"/>
    </row>
  </sheetData>
  <mergeCells count="5">
    <mergeCell ref="A1:E1"/>
    <mergeCell ref="A3:E3"/>
    <mergeCell ref="D4:E4"/>
    <mergeCell ref="A25:E25"/>
    <mergeCell ref="D26:E26"/>
  </mergeCells>
  <conditionalFormatting sqref="D23">
    <cfRule type="cellIs" dxfId="48" priority="11" stopIfTrue="1" operator="equal">
      <formula>0</formula>
    </cfRule>
  </conditionalFormatting>
  <conditionalFormatting sqref="E9:E12">
    <cfRule type="cellIs" dxfId="47" priority="20" stopIfTrue="1" operator="equal">
      <formula>0</formula>
    </cfRule>
  </conditionalFormatting>
  <conditionalFormatting sqref="E6:E8">
    <cfRule type="cellIs" dxfId="46" priority="19" stopIfTrue="1" operator="equal">
      <formula>0</formula>
    </cfRule>
  </conditionalFormatting>
  <conditionalFormatting sqref="B13">
    <cfRule type="cellIs" dxfId="45" priority="18" stopIfTrue="1" operator="equal">
      <formula>0</formula>
    </cfRule>
  </conditionalFormatting>
  <conditionalFormatting sqref="C13">
    <cfRule type="cellIs" dxfId="44" priority="17" stopIfTrue="1" operator="equal">
      <formula>0</formula>
    </cfRule>
  </conditionalFormatting>
  <conditionalFormatting sqref="D13">
    <cfRule type="cellIs" dxfId="43" priority="16" stopIfTrue="1" operator="equal">
      <formula>0</formula>
    </cfRule>
  </conditionalFormatting>
  <conditionalFormatting sqref="E13">
    <cfRule type="cellIs" dxfId="42" priority="15" stopIfTrue="1" operator="equal">
      <formula>0</formula>
    </cfRule>
  </conditionalFormatting>
  <conditionalFormatting sqref="E16:E22">
    <cfRule type="cellIs" dxfId="41" priority="14" stopIfTrue="1" operator="equal">
      <formula>0</formula>
    </cfRule>
  </conditionalFormatting>
  <conditionalFormatting sqref="B23">
    <cfRule type="cellIs" dxfId="40" priority="13" stopIfTrue="1" operator="equal">
      <formula>0</formula>
    </cfRule>
  </conditionalFormatting>
  <conditionalFormatting sqref="C23">
    <cfRule type="cellIs" dxfId="39" priority="12" stopIfTrue="1" operator="equal">
      <formula>0</formula>
    </cfRule>
  </conditionalFormatting>
  <conditionalFormatting sqref="E23">
    <cfRule type="cellIs" dxfId="38" priority="10" stopIfTrue="1" operator="equal">
      <formula>0</formula>
    </cfRule>
  </conditionalFormatting>
  <conditionalFormatting sqref="E40">
    <cfRule type="cellIs" dxfId="37" priority="3" stopIfTrue="1" operator="equal">
      <formula>0</formula>
    </cfRule>
  </conditionalFormatting>
  <conditionalFormatting sqref="E43:E44">
    <cfRule type="cellIs" dxfId="36" priority="9" stopIfTrue="1" operator="equal">
      <formula>0</formula>
    </cfRule>
  </conditionalFormatting>
  <conditionalFormatting sqref="E28:E34">
    <cfRule type="cellIs" dxfId="35" priority="8" stopIfTrue="1" operator="equal">
      <formula>0</formula>
    </cfRule>
  </conditionalFormatting>
  <conditionalFormatting sqref="B35:E35">
    <cfRule type="cellIs" dxfId="34" priority="7" stopIfTrue="1" operator="equal">
      <formula>0</formula>
    </cfRule>
  </conditionalFormatting>
  <conditionalFormatting sqref="B45:E45">
    <cfRule type="cellIs" dxfId="33" priority="6" stopIfTrue="1" operator="equal">
      <formula>0</formula>
    </cfRule>
  </conditionalFormatting>
  <conditionalFormatting sqref="E38">
    <cfRule type="cellIs" dxfId="32" priority="5" stopIfTrue="1" operator="equal">
      <formula>0</formula>
    </cfRule>
  </conditionalFormatting>
  <conditionalFormatting sqref="E39">
    <cfRule type="cellIs" dxfId="31" priority="4" stopIfTrue="1" operator="equal">
      <formula>0</formula>
    </cfRule>
  </conditionalFormatting>
  <conditionalFormatting sqref="E41">
    <cfRule type="cellIs" dxfId="30" priority="2" stopIfTrue="1" operator="equal">
      <formula>0</formula>
    </cfRule>
  </conditionalFormatting>
  <conditionalFormatting sqref="E42">
    <cfRule type="cellIs" dxfId="2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6"/>
  <sheetViews>
    <sheetView zoomScale="115" zoomScaleNormal="115" zoomScaleSheetLayoutView="115" zoomScalePageLayoutView="85" workbookViewId="0">
      <selection activeCell="B12" sqref="B12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960" customWidth="1"/>
    <col min="4" max="4" width="18" style="178" hidden="1" customWidth="1"/>
    <col min="5" max="5" width="14.5" style="178" hidden="1" customWidth="1"/>
    <col min="6" max="6" width="15.33203125" style="178" hidden="1" customWidth="1"/>
    <col min="7" max="7" width="11.1640625" style="178" hidden="1" customWidth="1"/>
    <col min="8" max="8" width="15.5" style="374" hidden="1" customWidth="1"/>
    <col min="9" max="9" width="17.83203125" style="375" hidden="1" customWidth="1"/>
    <col min="10" max="12" width="9.33203125" style="178" customWidth="1"/>
    <col min="13" max="16384" width="9.33203125" style="178"/>
  </cols>
  <sheetData>
    <row r="1" spans="1:9" s="792" customFormat="1" x14ac:dyDescent="0.25">
      <c r="A1" s="1421" t="str">
        <f>CONCATENATE("1.1. melléklet"," ",ALAPADATOK!A7," ",ALAPADATOK!B7," ",ALAPADATOK!C7," ",ALAPADATOK!D7," ",ALAPADATOK!E7," ",ALAPADATOK!F7," ",ALAPADATOK!G7," ",ALAPADATOK!H7)</f>
        <v>1.1. melléklet a 2 / 2021. ( II.15. ) önkormányzati rendelethez</v>
      </c>
      <c r="B1" s="1421"/>
      <c r="C1" s="1421"/>
      <c r="H1" s="374"/>
      <c r="I1" s="375"/>
    </row>
    <row r="2" spans="1:9" s="800" customFormat="1" x14ac:dyDescent="0.25">
      <c r="A2" s="823"/>
      <c r="B2" s="823"/>
      <c r="C2" s="823"/>
      <c r="H2" s="374"/>
      <c r="I2" s="375"/>
    </row>
    <row r="3" spans="1:9" s="792" customFormat="1" x14ac:dyDescent="0.25">
      <c r="A3" s="1419" t="str">
        <f>CONCATENATE(ALAPADATOK!A3)</f>
        <v>Tiszavasvári Város Önkormányzat</v>
      </c>
      <c r="B3" s="1419"/>
      <c r="C3" s="1419"/>
      <c r="H3" s="374"/>
      <c r="I3" s="375"/>
    </row>
    <row r="4" spans="1:9" s="792" customFormat="1" x14ac:dyDescent="0.25">
      <c r="A4" s="1420" t="str">
        <f>CONCATENATE(ALAPADATOK!D7," ÉVI KÖLTSÉGVETÉS")</f>
        <v>2021. ÉVI KÖLTSÉGVETÉS</v>
      </c>
      <c r="B4" s="1420"/>
      <c r="C4" s="1420"/>
      <c r="H4" s="374"/>
      <c r="I4" s="375"/>
    </row>
    <row r="5" spans="1:9" s="792" customFormat="1" x14ac:dyDescent="0.25">
      <c r="A5" s="1420" t="s">
        <v>764</v>
      </c>
      <c r="B5" s="1420"/>
      <c r="C5" s="1420"/>
      <c r="H5" s="374"/>
      <c r="I5" s="375"/>
    </row>
    <row r="6" spans="1:9" s="792" customFormat="1" x14ac:dyDescent="0.25">
      <c r="C6" s="960"/>
      <c r="H6" s="374"/>
      <c r="I6" s="375"/>
    </row>
    <row r="7" spans="1:9" ht="15.95" customHeight="1" x14ac:dyDescent="0.25">
      <c r="A7" s="1423" t="s">
        <v>16</v>
      </c>
      <c r="B7" s="1423"/>
      <c r="C7" s="1423"/>
      <c r="D7" s="959"/>
      <c r="E7" s="959"/>
      <c r="F7" s="959"/>
    </row>
    <row r="8" spans="1:9" ht="15.95" customHeight="1" thickBot="1" x14ac:dyDescent="0.3">
      <c r="A8" s="1422" t="s">
        <v>126</v>
      </c>
      <c r="B8" s="1422"/>
      <c r="C8" s="1222" t="s">
        <v>539</v>
      </c>
      <c r="D8" s="959"/>
      <c r="E8" s="959"/>
      <c r="F8" s="959"/>
    </row>
    <row r="9" spans="1:9" ht="38.1" customHeight="1" thickBot="1" x14ac:dyDescent="0.3">
      <c r="A9" s="20" t="s">
        <v>70</v>
      </c>
      <c r="B9" s="21" t="s">
        <v>18</v>
      </c>
      <c r="C9" s="585" t="s">
        <v>851</v>
      </c>
      <c r="D9" s="959" t="s">
        <v>545</v>
      </c>
      <c r="E9" s="959" t="s">
        <v>546</v>
      </c>
      <c r="F9" s="959" t="s">
        <v>547</v>
      </c>
    </row>
    <row r="10" spans="1:9" s="190" customFormat="1" ht="12" customHeight="1" thickBot="1" x14ac:dyDescent="0.25">
      <c r="A10" s="184" t="s">
        <v>434</v>
      </c>
      <c r="B10" s="185" t="s">
        <v>435</v>
      </c>
      <c r="C10" s="1223" t="s">
        <v>436</v>
      </c>
      <c r="H10" s="374"/>
      <c r="I10" s="375"/>
    </row>
    <row r="11" spans="1:9" s="191" customFormat="1" ht="12" customHeight="1" thickBot="1" x14ac:dyDescent="0.25">
      <c r="A11" s="17" t="s">
        <v>19</v>
      </c>
      <c r="B11" s="18" t="s">
        <v>192</v>
      </c>
      <c r="C11" s="121">
        <f t="shared" ref="C11:C43" si="0">SUM(D11:F11)</f>
        <v>1586722929</v>
      </c>
      <c r="D11" s="276">
        <f>+D12+D13+D14+D17+D18+D19</f>
        <v>1586722929</v>
      </c>
      <c r="E11" s="116">
        <f>+E12+E13+E14+E17+E18+E19</f>
        <v>0</v>
      </c>
      <c r="F11" s="116">
        <f>+F12+F13+F14+F17+F18+F19</f>
        <v>0</v>
      </c>
      <c r="H11" s="376">
        <f>'1.2.sz.mell. '!C11+'1.3.sz.mell.'!C11+'1.4.sz.mell. '!C11+'1.5.sz.mell.'!C11</f>
        <v>1586722929</v>
      </c>
      <c r="I11" s="376">
        <f t="shared" ref="I11:I75" si="1">C11-H11</f>
        <v>0</v>
      </c>
    </row>
    <row r="12" spans="1:9" s="191" customFormat="1" ht="12" customHeight="1" thickBot="1" x14ac:dyDescent="0.25">
      <c r="A12" s="12" t="s">
        <v>97</v>
      </c>
      <c r="B12" s="192" t="s">
        <v>193</v>
      </c>
      <c r="C12" s="467">
        <f>SUM(D12:F12)</f>
        <v>295696597</v>
      </c>
      <c r="D12" s="230">
        <v>295696597</v>
      </c>
      <c r="E12" s="230"/>
      <c r="F12" s="230"/>
      <c r="H12" s="376">
        <f>'1.2.sz.mell. '!C12+'1.3.sz.mell.'!C12+'1.4.sz.mell. '!C12+'1.5.sz.mell.'!C12</f>
        <v>295696597</v>
      </c>
      <c r="I12" s="377">
        <f>C12-H12</f>
        <v>0</v>
      </c>
    </row>
    <row r="13" spans="1:9" s="191" customFormat="1" ht="12" customHeight="1" thickBot="1" x14ac:dyDescent="0.25">
      <c r="A13" s="11" t="s">
        <v>98</v>
      </c>
      <c r="B13" s="193" t="s">
        <v>194</v>
      </c>
      <c r="C13" s="299">
        <f t="shared" si="0"/>
        <v>254023920</v>
      </c>
      <c r="D13" s="1029">
        <v>254023920</v>
      </c>
      <c r="E13" s="1029"/>
      <c r="F13" s="1029"/>
      <c r="H13" s="376">
        <f>'1.2.sz.mell. '!C13+'1.3.sz.mell.'!C13+'1.4.sz.mell. '!C13+'1.5.sz.mell.'!C13</f>
        <v>254023920</v>
      </c>
      <c r="I13" s="378">
        <f t="shared" si="1"/>
        <v>0</v>
      </c>
    </row>
    <row r="14" spans="1:9" s="191" customFormat="1" ht="12" customHeight="1" thickBot="1" x14ac:dyDescent="0.25">
      <c r="A14" s="11" t="s">
        <v>99</v>
      </c>
      <c r="B14" s="193" t="s">
        <v>820</v>
      </c>
      <c r="C14" s="299">
        <f t="shared" si="0"/>
        <v>761734873</v>
      </c>
      <c r="D14" s="1029">
        <f>SUM(D15:D16)</f>
        <v>761734873</v>
      </c>
      <c r="E14" s="1029">
        <f>SUM(E15:E16)</f>
        <v>0</v>
      </c>
      <c r="F14" s="1029">
        <f>SUM(F15:F16)</f>
        <v>0</v>
      </c>
      <c r="H14" s="376">
        <f>'1.2.sz.mell. '!C14+'1.3.sz.mell.'!C14+'1.4.sz.mell. '!C14+'1.5.sz.mell.'!C14</f>
        <v>761734873</v>
      </c>
      <c r="I14" s="378">
        <f t="shared" si="1"/>
        <v>0</v>
      </c>
    </row>
    <row r="15" spans="1:9" s="191" customFormat="1" ht="12" customHeight="1" thickBot="1" x14ac:dyDescent="0.25">
      <c r="A15" s="11" t="s">
        <v>818</v>
      </c>
      <c r="B15" s="193" t="s">
        <v>821</v>
      </c>
      <c r="C15" s="299">
        <f t="shared" si="0"/>
        <v>635476079</v>
      </c>
      <c r="D15" s="1029">
        <v>635476079</v>
      </c>
      <c r="E15" s="1029"/>
      <c r="F15" s="1029"/>
      <c r="H15" s="376">
        <f>'1.2.sz.mell. '!C15+'1.3.sz.mell.'!C15+'1.4.sz.mell. '!C15+'1.5.sz.mell.'!C15</f>
        <v>635476079</v>
      </c>
      <c r="I15" s="378">
        <f t="shared" si="1"/>
        <v>0</v>
      </c>
    </row>
    <row r="16" spans="1:9" s="191" customFormat="1" ht="12" customHeight="1" thickBot="1" x14ac:dyDescent="0.25">
      <c r="A16" s="11" t="s">
        <v>819</v>
      </c>
      <c r="B16" s="193" t="s">
        <v>822</v>
      </c>
      <c r="C16" s="299">
        <f t="shared" si="0"/>
        <v>126258794</v>
      </c>
      <c r="D16" s="1029">
        <v>126258794</v>
      </c>
      <c r="E16" s="1029"/>
      <c r="F16" s="1029"/>
      <c r="H16" s="376">
        <f>'1.2.sz.mell. '!C16+'1.3.sz.mell.'!C16+'1.4.sz.mell. '!C16+'1.5.sz.mell.'!C16</f>
        <v>126258794</v>
      </c>
      <c r="I16" s="378">
        <f t="shared" si="1"/>
        <v>0</v>
      </c>
    </row>
    <row r="17" spans="1:9" s="191" customFormat="1" ht="12" customHeight="1" thickBot="1" x14ac:dyDescent="0.25">
      <c r="A17" s="11" t="s">
        <v>100</v>
      </c>
      <c r="B17" s="193" t="s">
        <v>196</v>
      </c>
      <c r="C17" s="299">
        <f t="shared" si="0"/>
        <v>40888120</v>
      </c>
      <c r="D17" s="1029">
        <v>40888120</v>
      </c>
      <c r="E17" s="1029"/>
      <c r="F17" s="1029"/>
      <c r="H17" s="376">
        <f>'1.2.sz.mell. '!C17+'1.3.sz.mell.'!C17+'1.4.sz.mell. '!C17+'1.5.sz.mell.'!C17</f>
        <v>40888120</v>
      </c>
      <c r="I17" s="378">
        <f t="shared" si="1"/>
        <v>0</v>
      </c>
    </row>
    <row r="18" spans="1:9" s="191" customFormat="1" ht="12" customHeight="1" thickBot="1" x14ac:dyDescent="0.25">
      <c r="A18" s="11" t="s">
        <v>123</v>
      </c>
      <c r="B18" s="112" t="s">
        <v>437</v>
      </c>
      <c r="C18" s="299">
        <f t="shared" si="0"/>
        <v>234379419</v>
      </c>
      <c r="D18" s="1029">
        <f>234271694+107725</f>
        <v>234379419</v>
      </c>
      <c r="E18" s="1029"/>
      <c r="F18" s="1029"/>
      <c r="H18" s="376">
        <f>'1.2.sz.mell. '!C18+'1.3.sz.mell.'!C18+'1.4.sz.mell. '!C18+'1.5.sz.mell.'!C18</f>
        <v>234379419</v>
      </c>
      <c r="I18" s="378">
        <f t="shared" si="1"/>
        <v>0</v>
      </c>
    </row>
    <row r="19" spans="1:9" s="191" customFormat="1" ht="12" customHeight="1" thickBot="1" x14ac:dyDescent="0.25">
      <c r="A19" s="13" t="s">
        <v>101</v>
      </c>
      <c r="B19" s="113" t="s">
        <v>438</v>
      </c>
      <c r="C19" s="468">
        <f t="shared" si="0"/>
        <v>0</v>
      </c>
      <c r="D19" s="105"/>
      <c r="E19" s="117"/>
      <c r="F19" s="117"/>
      <c r="H19" s="376">
        <f>'1.2.sz.mell. '!C19+'1.3.sz.mell.'!C19+'1.4.sz.mell. '!C19+'1.5.sz.mell.'!C19</f>
        <v>0</v>
      </c>
      <c r="I19" s="379">
        <f t="shared" si="1"/>
        <v>0</v>
      </c>
    </row>
    <row r="20" spans="1:9" s="191" customFormat="1" ht="12" customHeight="1" thickBot="1" x14ac:dyDescent="0.25">
      <c r="A20" s="17" t="s">
        <v>20</v>
      </c>
      <c r="B20" s="111" t="s">
        <v>197</v>
      </c>
      <c r="C20" s="121">
        <f t="shared" si="0"/>
        <v>355607178</v>
      </c>
      <c r="D20" s="276">
        <f>+D21+D22+D23+D24+D25</f>
        <v>255808159</v>
      </c>
      <c r="E20" s="116">
        <f>+E21+E22+E23+E24+E25</f>
        <v>0</v>
      </c>
      <c r="F20" s="116">
        <f>+F21+F22+F23+F24+F25</f>
        <v>99799019</v>
      </c>
      <c r="H20" s="376">
        <f>'1.2.sz.mell. '!C20+'1.3.sz.mell.'!C20+'1.4.sz.mell. '!C20+'1.5.sz.mell.'!C20</f>
        <v>355607178</v>
      </c>
      <c r="I20" s="376">
        <f t="shared" si="1"/>
        <v>0</v>
      </c>
    </row>
    <row r="21" spans="1:9" s="191" customFormat="1" ht="12" customHeight="1" thickBot="1" x14ac:dyDescent="0.25">
      <c r="A21" s="12" t="s">
        <v>103</v>
      </c>
      <c r="B21" s="192" t="s">
        <v>198</v>
      </c>
      <c r="C21" s="467">
        <f t="shared" si="0"/>
        <v>0</v>
      </c>
      <c r="D21" s="278"/>
      <c r="E21" s="118"/>
      <c r="F21" s="118"/>
      <c r="H21" s="376">
        <f>'1.2.sz.mell. '!C21+'1.3.sz.mell.'!C21+'1.4.sz.mell. '!C21+'1.5.sz.mell.'!C21</f>
        <v>0</v>
      </c>
      <c r="I21" s="377">
        <f t="shared" si="1"/>
        <v>0</v>
      </c>
    </row>
    <row r="22" spans="1:9" s="191" customFormat="1" ht="12" customHeight="1" thickBot="1" x14ac:dyDescent="0.25">
      <c r="A22" s="11" t="s">
        <v>104</v>
      </c>
      <c r="B22" s="193" t="s">
        <v>199</v>
      </c>
      <c r="C22" s="299">
        <f t="shared" si="0"/>
        <v>0</v>
      </c>
      <c r="D22" s="105"/>
      <c r="E22" s="117"/>
      <c r="F22" s="117"/>
      <c r="H22" s="376">
        <f>'1.2.sz.mell. '!C22+'1.3.sz.mell.'!C22+'1.4.sz.mell. '!C22+'1.5.sz.mell.'!C22</f>
        <v>0</v>
      </c>
      <c r="I22" s="378">
        <f t="shared" si="1"/>
        <v>0</v>
      </c>
    </row>
    <row r="23" spans="1:9" s="191" customFormat="1" ht="12" customHeight="1" thickBot="1" x14ac:dyDescent="0.25">
      <c r="A23" s="11" t="s">
        <v>105</v>
      </c>
      <c r="B23" s="193" t="s">
        <v>367</v>
      </c>
      <c r="C23" s="299">
        <f t="shared" si="0"/>
        <v>0</v>
      </c>
      <c r="D23" s="105"/>
      <c r="E23" s="117"/>
      <c r="F23" s="117"/>
      <c r="H23" s="376">
        <f>'1.2.sz.mell. '!C23+'1.3.sz.mell.'!C23+'1.4.sz.mell. '!C23+'1.5.sz.mell.'!C23</f>
        <v>0</v>
      </c>
      <c r="I23" s="378">
        <f t="shared" si="1"/>
        <v>0</v>
      </c>
    </row>
    <row r="24" spans="1:9" s="191" customFormat="1" ht="12" customHeight="1" thickBot="1" x14ac:dyDescent="0.25">
      <c r="A24" s="11" t="s">
        <v>106</v>
      </c>
      <c r="B24" s="193" t="s">
        <v>368</v>
      </c>
      <c r="C24" s="299">
        <f t="shared" si="0"/>
        <v>0</v>
      </c>
      <c r="D24" s="105"/>
      <c r="E24" s="117"/>
      <c r="F24" s="117"/>
      <c r="H24" s="376">
        <f>'1.2.sz.mell. '!C24+'1.3.sz.mell.'!C24+'1.4.sz.mell. '!C24+'1.5.sz.mell.'!C24</f>
        <v>0</v>
      </c>
      <c r="I24" s="378">
        <f t="shared" si="1"/>
        <v>0</v>
      </c>
    </row>
    <row r="25" spans="1:9" s="191" customFormat="1" ht="12" customHeight="1" thickBot="1" x14ac:dyDescent="0.25">
      <c r="A25" s="11" t="s">
        <v>107</v>
      </c>
      <c r="B25" s="193" t="s">
        <v>200</v>
      </c>
      <c r="C25" s="299">
        <f t="shared" si="0"/>
        <v>355607178</v>
      </c>
      <c r="D25" s="1030">
        <v>255808159</v>
      </c>
      <c r="E25" s="1029"/>
      <c r="F25" s="1029">
        <f>9618799+90180220</f>
        <v>99799019</v>
      </c>
      <c r="H25" s="376">
        <f>'1.2.sz.mell. '!C25+'1.3.sz.mell.'!C25+'1.4.sz.mell. '!C25+'1.5.sz.mell.'!C25</f>
        <v>355607178</v>
      </c>
      <c r="I25" s="378">
        <f t="shared" si="1"/>
        <v>0</v>
      </c>
    </row>
    <row r="26" spans="1:9" s="191" customFormat="1" ht="12" customHeight="1" thickBot="1" x14ac:dyDescent="0.25">
      <c r="A26" s="13" t="s">
        <v>116</v>
      </c>
      <c r="B26" s="113" t="s">
        <v>201</v>
      </c>
      <c r="C26" s="468">
        <f t="shared" si="0"/>
        <v>131495850</v>
      </c>
      <c r="D26" s="1031">
        <f>17520150+30768216</f>
        <v>48288366</v>
      </c>
      <c r="E26" s="181"/>
      <c r="F26" s="181">
        <v>83207484</v>
      </c>
      <c r="H26" s="376">
        <f>'1.2.sz.mell. '!C26+'1.3.sz.mell.'!C26+'1.4.sz.mell. '!C26+'1.5.sz.mell.'!C26</f>
        <v>131495850</v>
      </c>
      <c r="I26" s="379">
        <f t="shared" si="1"/>
        <v>0</v>
      </c>
    </row>
    <row r="27" spans="1:9" s="191" customFormat="1" ht="12" customHeight="1" thickBot="1" x14ac:dyDescent="0.25">
      <c r="A27" s="17" t="s">
        <v>21</v>
      </c>
      <c r="B27" s="18" t="s">
        <v>202</v>
      </c>
      <c r="C27" s="266">
        <f t="shared" si="0"/>
        <v>189408354</v>
      </c>
      <c r="D27" s="276">
        <f>+D28+D29+D30+D31+D32</f>
        <v>127479073</v>
      </c>
      <c r="E27" s="116">
        <f>+E28+E29+E30+E31+E32</f>
        <v>0</v>
      </c>
      <c r="F27" s="116">
        <f>+F28+F29+F30+F31+F32</f>
        <v>61929281</v>
      </c>
      <c r="H27" s="376">
        <f>'1.2.sz.mell. '!C27+'1.3.sz.mell.'!C27+'1.4.sz.mell. '!C27+'1.5.sz.mell.'!C27</f>
        <v>189408354</v>
      </c>
      <c r="I27" s="376">
        <f t="shared" si="1"/>
        <v>0</v>
      </c>
    </row>
    <row r="28" spans="1:9" s="191" customFormat="1" ht="12" customHeight="1" thickBot="1" x14ac:dyDescent="0.25">
      <c r="A28" s="12" t="s">
        <v>86</v>
      </c>
      <c r="B28" s="192" t="s">
        <v>203</v>
      </c>
      <c r="C28" s="467">
        <f t="shared" si="0"/>
        <v>0</v>
      </c>
      <c r="D28" s="1032"/>
      <c r="E28" s="577"/>
      <c r="F28" s="577"/>
      <c r="H28" s="376">
        <f>'1.2.sz.mell. '!C28+'1.3.sz.mell.'!C28+'1.4.sz.mell. '!C28+'1.5.sz.mell.'!C28</f>
        <v>0</v>
      </c>
      <c r="I28" s="377">
        <f t="shared" si="1"/>
        <v>0</v>
      </c>
    </row>
    <row r="29" spans="1:9" s="191" customFormat="1" ht="12" customHeight="1" thickBot="1" x14ac:dyDescent="0.25">
      <c r="A29" s="11" t="s">
        <v>87</v>
      </c>
      <c r="B29" s="193" t="s">
        <v>204</v>
      </c>
      <c r="C29" s="1149">
        <f t="shared" si="0"/>
        <v>0</v>
      </c>
      <c r="D29" s="1030"/>
      <c r="E29" s="1029"/>
      <c r="F29" s="1029"/>
      <c r="H29" s="376">
        <f>'1.2.sz.mell. '!C29+'1.3.sz.mell.'!C29+'1.4.sz.mell. '!C29+'1.5.sz.mell.'!C29</f>
        <v>0</v>
      </c>
      <c r="I29" s="378">
        <f t="shared" si="1"/>
        <v>0</v>
      </c>
    </row>
    <row r="30" spans="1:9" s="191" customFormat="1" ht="12" customHeight="1" thickBot="1" x14ac:dyDescent="0.25">
      <c r="A30" s="11" t="s">
        <v>88</v>
      </c>
      <c r="B30" s="193" t="s">
        <v>369</v>
      </c>
      <c r="C30" s="299">
        <f t="shared" si="0"/>
        <v>0</v>
      </c>
      <c r="D30" s="1030"/>
      <c r="E30" s="1029"/>
      <c r="F30" s="1029"/>
      <c r="H30" s="376">
        <f>'1.2.sz.mell. '!C30+'1.3.sz.mell.'!C30+'1.4.sz.mell. '!C30+'1.5.sz.mell.'!C30</f>
        <v>0</v>
      </c>
      <c r="I30" s="378">
        <f t="shared" si="1"/>
        <v>0</v>
      </c>
    </row>
    <row r="31" spans="1:9" s="191" customFormat="1" ht="12" customHeight="1" thickBot="1" x14ac:dyDescent="0.25">
      <c r="A31" s="11" t="s">
        <v>89</v>
      </c>
      <c r="B31" s="193" t="s">
        <v>370</v>
      </c>
      <c r="C31" s="299">
        <f t="shared" si="0"/>
        <v>0</v>
      </c>
      <c r="D31" s="1030"/>
      <c r="E31" s="1029"/>
      <c r="F31" s="1029"/>
      <c r="H31" s="376">
        <f>'1.2.sz.mell. '!C31+'1.3.sz.mell.'!C31+'1.4.sz.mell. '!C31+'1.5.sz.mell.'!C31</f>
        <v>0</v>
      </c>
      <c r="I31" s="378">
        <f t="shared" si="1"/>
        <v>0</v>
      </c>
    </row>
    <row r="32" spans="1:9" s="191" customFormat="1" ht="12" customHeight="1" thickBot="1" x14ac:dyDescent="0.25">
      <c r="A32" s="11" t="s">
        <v>134</v>
      </c>
      <c r="B32" s="193" t="s">
        <v>205</v>
      </c>
      <c r="C32" s="299">
        <f t="shared" si="0"/>
        <v>189408354</v>
      </c>
      <c r="D32" s="1030">
        <v>127479073</v>
      </c>
      <c r="E32" s="1029"/>
      <c r="F32" s="1029">
        <f>51850900+10078381</f>
        <v>61929281</v>
      </c>
      <c r="H32" s="376">
        <f>'1.2.sz.mell. '!C32+'1.3.sz.mell.'!C32+'1.4.sz.mell. '!C32+'1.5.sz.mell.'!C32</f>
        <v>189408354</v>
      </c>
      <c r="I32" s="378">
        <f t="shared" si="1"/>
        <v>0</v>
      </c>
    </row>
    <row r="33" spans="1:9" s="191" customFormat="1" ht="12" customHeight="1" thickBot="1" x14ac:dyDescent="0.25">
      <c r="A33" s="13" t="s">
        <v>135</v>
      </c>
      <c r="B33" s="194" t="s">
        <v>206</v>
      </c>
      <c r="C33" s="468">
        <f t="shared" si="0"/>
        <v>80423773</v>
      </c>
      <c r="D33" s="1031">
        <f>21590900+1499571+3482179+806423</f>
        <v>27379073</v>
      </c>
      <c r="E33" s="181"/>
      <c r="F33" s="181">
        <v>53044700</v>
      </c>
      <c r="H33" s="376">
        <f>'1.2.sz.mell. '!C33+'1.3.sz.mell.'!C33+'1.4.sz.mell. '!C33+'1.5.sz.mell.'!C33</f>
        <v>80423773</v>
      </c>
      <c r="I33" s="379">
        <f t="shared" si="1"/>
        <v>0</v>
      </c>
    </row>
    <row r="34" spans="1:9" s="191" customFormat="1" ht="12" customHeight="1" thickBot="1" x14ac:dyDescent="0.25">
      <c r="A34" s="17" t="s">
        <v>136</v>
      </c>
      <c r="B34" s="18" t="s">
        <v>207</v>
      </c>
      <c r="C34" s="121">
        <f t="shared" si="0"/>
        <v>398600000</v>
      </c>
      <c r="D34" s="279">
        <f>+D35++D39+D40</f>
        <v>398600000</v>
      </c>
      <c r="E34" s="279">
        <f>+E35++E39+E40</f>
        <v>0</v>
      </c>
      <c r="F34" s="279">
        <f>+F35++F39+F40</f>
        <v>0</v>
      </c>
      <c r="H34" s="376">
        <f>'1.2.sz.mell. '!C34+'1.3.sz.mell.'!C34+'1.4.sz.mell. '!C34+'1.5.sz.mell.'!C34</f>
        <v>398600000</v>
      </c>
      <c r="I34" s="376">
        <f t="shared" si="1"/>
        <v>0</v>
      </c>
    </row>
    <row r="35" spans="1:9" s="191" customFormat="1" ht="12" customHeight="1" thickBot="1" x14ac:dyDescent="0.25">
      <c r="A35" s="12" t="s">
        <v>208</v>
      </c>
      <c r="B35" s="192" t="s">
        <v>626</v>
      </c>
      <c r="C35" s="467">
        <f t="shared" ref="C35:C39" si="2">SUM(D35:F35)</f>
        <v>385080000</v>
      </c>
      <c r="D35" s="293">
        <f>SUM(D36:D37)</f>
        <v>385080000</v>
      </c>
      <c r="E35" s="293">
        <f>SUM(E36:E37)</f>
        <v>0</v>
      </c>
      <c r="F35" s="293">
        <f>SUM(F36:F37)</f>
        <v>0</v>
      </c>
      <c r="H35" s="376">
        <f>'1.2.sz.mell. '!C35+'1.3.sz.mell.'!C35+'1.4.sz.mell. '!C35+'1.5.sz.mell.'!C35</f>
        <v>385080000</v>
      </c>
      <c r="I35" s="377">
        <f t="shared" si="1"/>
        <v>0</v>
      </c>
    </row>
    <row r="36" spans="1:9" s="191" customFormat="1" ht="12" customHeight="1" thickBot="1" x14ac:dyDescent="0.25">
      <c r="A36" s="11" t="s">
        <v>209</v>
      </c>
      <c r="B36" s="193" t="s">
        <v>214</v>
      </c>
      <c r="C36" s="299">
        <f t="shared" si="2"/>
        <v>88280000</v>
      </c>
      <c r="D36" s="105">
        <v>88280000</v>
      </c>
      <c r="E36" s="117"/>
      <c r="F36" s="117"/>
      <c r="H36" s="376">
        <f>'1.2.sz.mell. '!C36+'1.3.sz.mell.'!C36+'1.4.sz.mell. '!C36+'1.5.sz.mell.'!C36</f>
        <v>88280000</v>
      </c>
      <c r="I36" s="378">
        <f t="shared" si="1"/>
        <v>0</v>
      </c>
    </row>
    <row r="37" spans="1:9" s="191" customFormat="1" ht="12" customHeight="1" thickBot="1" x14ac:dyDescent="0.25">
      <c r="A37" s="11" t="s">
        <v>210</v>
      </c>
      <c r="B37" s="250" t="s">
        <v>625</v>
      </c>
      <c r="C37" s="298">
        <f t="shared" si="2"/>
        <v>296800000</v>
      </c>
      <c r="D37" s="105">
        <v>296800000</v>
      </c>
      <c r="E37" s="117"/>
      <c r="F37" s="117"/>
      <c r="H37" s="376">
        <f>'1.2.sz.mell. '!C37+'1.3.sz.mell.'!C37+'1.4.sz.mell. '!C37+'1.5.sz.mell.'!C37</f>
        <v>296800000</v>
      </c>
      <c r="I37" s="378">
        <f t="shared" si="1"/>
        <v>0</v>
      </c>
    </row>
    <row r="38" spans="1:9" s="191" customFormat="1" ht="12" customHeight="1" thickBot="1" x14ac:dyDescent="0.25">
      <c r="A38" s="11" t="s">
        <v>211</v>
      </c>
      <c r="B38" s="193" t="s">
        <v>523</v>
      </c>
      <c r="C38" s="298">
        <f t="shared" si="2"/>
        <v>0</v>
      </c>
      <c r="D38" s="1030"/>
      <c r="E38" s="1029"/>
      <c r="F38" s="1029"/>
      <c r="H38" s="376">
        <f>'1.2.sz.mell. '!C38+'1.3.sz.mell.'!C38+'1.4.sz.mell. '!C38+'1.5.sz.mell.'!C38</f>
        <v>0</v>
      </c>
      <c r="I38" s="378">
        <f t="shared" si="1"/>
        <v>0</v>
      </c>
    </row>
    <row r="39" spans="1:9" s="191" customFormat="1" ht="12" customHeight="1" thickBot="1" x14ac:dyDescent="0.25">
      <c r="A39" s="11" t="s">
        <v>212</v>
      </c>
      <c r="B39" s="193" t="s">
        <v>216</v>
      </c>
      <c r="C39" s="298">
        <f t="shared" si="2"/>
        <v>0</v>
      </c>
      <c r="D39" s="105"/>
      <c r="E39" s="117"/>
      <c r="F39" s="117"/>
      <c r="H39" s="376">
        <f>'1.2.sz.mell. '!C39+'1.3.sz.mell.'!C39+'1.4.sz.mell. '!C39+'1.5.sz.mell.'!C39</f>
        <v>0</v>
      </c>
      <c r="I39" s="378">
        <f t="shared" si="1"/>
        <v>0</v>
      </c>
    </row>
    <row r="40" spans="1:9" s="191" customFormat="1" ht="12" customHeight="1" thickBot="1" x14ac:dyDescent="0.25">
      <c r="A40" s="13" t="s">
        <v>213</v>
      </c>
      <c r="B40" s="194" t="s">
        <v>217</v>
      </c>
      <c r="C40" s="468">
        <f t="shared" si="0"/>
        <v>13520000</v>
      </c>
      <c r="D40" s="1031">
        <v>13520000</v>
      </c>
      <c r="E40" s="181"/>
      <c r="F40" s="181"/>
      <c r="H40" s="376">
        <f>'1.2.sz.mell. '!C40+'1.3.sz.mell.'!C40+'1.4.sz.mell. '!C40+'1.5.sz.mell.'!C40</f>
        <v>13520000</v>
      </c>
      <c r="I40" s="379">
        <f t="shared" si="1"/>
        <v>0</v>
      </c>
    </row>
    <row r="41" spans="1:9" s="191" customFormat="1" ht="12" customHeight="1" thickBot="1" x14ac:dyDescent="0.25">
      <c r="A41" s="17" t="s">
        <v>23</v>
      </c>
      <c r="B41" s="18" t="s">
        <v>439</v>
      </c>
      <c r="C41" s="121">
        <f>SUM(D41:F41)</f>
        <v>364458308</v>
      </c>
      <c r="D41" s="276">
        <f>SUM(D42:D52)</f>
        <v>66120065</v>
      </c>
      <c r="E41" s="116">
        <f>SUM(E42:E52)</f>
        <v>10088614</v>
      </c>
      <c r="F41" s="116">
        <f>SUM(F42:F52)</f>
        <v>288249629</v>
      </c>
      <c r="H41" s="376">
        <f>'1.2.sz.mell. '!C41+'1.3.sz.mell.'!C41+'1.4.sz.mell. '!C41+'1.5.sz.mell.'!C41</f>
        <v>364458308</v>
      </c>
      <c r="I41" s="376">
        <f t="shared" si="1"/>
        <v>0</v>
      </c>
    </row>
    <row r="42" spans="1:9" s="191" customFormat="1" ht="12" customHeight="1" thickBot="1" x14ac:dyDescent="0.25">
      <c r="A42" s="12" t="s">
        <v>90</v>
      </c>
      <c r="B42" s="192" t="s">
        <v>220</v>
      </c>
      <c r="C42" s="467">
        <f t="shared" si="0"/>
        <v>0</v>
      </c>
      <c r="D42" s="1032"/>
      <c r="E42" s="230"/>
      <c r="F42" s="230"/>
      <c r="H42" s="376">
        <f>'1.2.sz.mell. '!C42+'1.3.sz.mell.'!C42+'1.4.sz.mell. '!C42+'1.5.sz.mell.'!C42</f>
        <v>0</v>
      </c>
      <c r="I42" s="377">
        <f t="shared" si="1"/>
        <v>0</v>
      </c>
    </row>
    <row r="43" spans="1:9" s="191" customFormat="1" ht="12.75" customHeight="1" thickBot="1" x14ac:dyDescent="0.25">
      <c r="A43" s="11" t="s">
        <v>91</v>
      </c>
      <c r="B43" s="193" t="s">
        <v>221</v>
      </c>
      <c r="C43" s="299">
        <f t="shared" si="0"/>
        <v>70238454</v>
      </c>
      <c r="D43" s="1030">
        <v>16336984</v>
      </c>
      <c r="E43" s="1029">
        <v>5076402</v>
      </c>
      <c r="F43" s="230">
        <f>25515233+11296835+600000+11413000</f>
        <v>48825068</v>
      </c>
      <c r="H43" s="376">
        <f>'1.2.sz.mell. '!C43+'1.3.sz.mell.'!C43+'1.4.sz.mell. '!C43+'1.5.sz.mell.'!C43</f>
        <v>70238454</v>
      </c>
      <c r="I43" s="378">
        <f t="shared" si="1"/>
        <v>0</v>
      </c>
    </row>
    <row r="44" spans="1:9" s="191" customFormat="1" ht="12" customHeight="1" thickBot="1" x14ac:dyDescent="0.25">
      <c r="A44" s="11" t="s">
        <v>92</v>
      </c>
      <c r="B44" s="193" t="s">
        <v>222</v>
      </c>
      <c r="C44" s="299">
        <f t="shared" ref="C44:C94" si="3">SUM(D44:F44)</f>
        <v>28440392</v>
      </c>
      <c r="D44" s="1030">
        <v>9686744</v>
      </c>
      <c r="E44" s="1029">
        <v>2788648</v>
      </c>
      <c r="F44" s="230">
        <f>1270000+5000+4600000+10090000</f>
        <v>15965000</v>
      </c>
      <c r="H44" s="376">
        <f>'1.2.sz.mell. '!C44+'1.3.sz.mell.'!C44+'1.4.sz.mell. '!C44+'1.5.sz.mell.'!C44</f>
        <v>28440392</v>
      </c>
      <c r="I44" s="378">
        <f t="shared" si="1"/>
        <v>0</v>
      </c>
    </row>
    <row r="45" spans="1:9" s="191" customFormat="1" ht="12" customHeight="1" thickBot="1" x14ac:dyDescent="0.25">
      <c r="A45" s="11" t="s">
        <v>138</v>
      </c>
      <c r="B45" s="193" t="s">
        <v>223</v>
      </c>
      <c r="C45" s="299">
        <f t="shared" si="3"/>
        <v>3743473</v>
      </c>
      <c r="D45" s="1030">
        <v>3743473</v>
      </c>
      <c r="E45" s="1029"/>
      <c r="F45" s="230"/>
      <c r="H45" s="376">
        <f>'1.2.sz.mell. '!C45+'1.3.sz.mell.'!C45+'1.4.sz.mell. '!C45+'1.5.sz.mell.'!C45</f>
        <v>3743473</v>
      </c>
      <c r="I45" s="378">
        <f t="shared" si="1"/>
        <v>0</v>
      </c>
    </row>
    <row r="46" spans="1:9" s="191" customFormat="1" ht="12" customHeight="1" thickBot="1" x14ac:dyDescent="0.25">
      <c r="A46" s="11" t="s">
        <v>139</v>
      </c>
      <c r="B46" s="193" t="s">
        <v>224</v>
      </c>
      <c r="C46" s="299">
        <f>SUM(D46:F46)</f>
        <v>199444919</v>
      </c>
      <c r="D46" s="1030"/>
      <c r="E46" s="1029"/>
      <c r="F46" s="230">
        <f>1175672+23682732+1011380+173575135</f>
        <v>199444919</v>
      </c>
      <c r="H46" s="376">
        <f>'1.2.sz.mell. '!C46+'1.3.sz.mell.'!C46+'1.4.sz.mell. '!C46+'1.5.sz.mell.'!C46</f>
        <v>199444919</v>
      </c>
      <c r="I46" s="378">
        <f t="shared" si="1"/>
        <v>0</v>
      </c>
    </row>
    <row r="47" spans="1:9" s="191" customFormat="1" ht="12" customHeight="1" thickBot="1" x14ac:dyDescent="0.25">
      <c r="A47" s="11" t="s">
        <v>140</v>
      </c>
      <c r="B47" s="193" t="s">
        <v>225</v>
      </c>
      <c r="C47" s="299">
        <f t="shared" si="3"/>
        <v>24007648</v>
      </c>
      <c r="D47" s="1030">
        <v>8308287</v>
      </c>
      <c r="E47" s="1029">
        <v>2123564</v>
      </c>
      <c r="F47" s="230">
        <f>6457815+1525999+1677073+3914910</f>
        <v>13575797</v>
      </c>
      <c r="H47" s="376">
        <f>'1.2.sz.mell. '!C47+'1.3.sz.mell.'!C47+'1.4.sz.mell. '!C47+'1.5.sz.mell.'!C47</f>
        <v>24007648</v>
      </c>
      <c r="I47" s="378">
        <f t="shared" si="1"/>
        <v>0</v>
      </c>
    </row>
    <row r="48" spans="1:9" s="191" customFormat="1" ht="12" customHeight="1" thickBot="1" x14ac:dyDescent="0.25">
      <c r="A48" s="11" t="s">
        <v>141</v>
      </c>
      <c r="B48" s="193" t="s">
        <v>226</v>
      </c>
      <c r="C48" s="299">
        <f t="shared" si="3"/>
        <v>35961645</v>
      </c>
      <c r="D48" s="1030">
        <v>25525800</v>
      </c>
      <c r="E48" s="1029"/>
      <c r="F48" s="230">
        <f>9450092+680000+305753</f>
        <v>10435845</v>
      </c>
      <c r="H48" s="376">
        <f>'1.2.sz.mell. '!C48+'1.3.sz.mell.'!C48+'1.4.sz.mell. '!C48+'1.5.sz.mell.'!C48</f>
        <v>35961645</v>
      </c>
      <c r="I48" s="378">
        <f t="shared" si="1"/>
        <v>0</v>
      </c>
    </row>
    <row r="49" spans="1:9" s="191" customFormat="1" ht="12" customHeight="1" thickBot="1" x14ac:dyDescent="0.25">
      <c r="A49" s="11" t="s">
        <v>142</v>
      </c>
      <c r="B49" s="193" t="s">
        <v>528</v>
      </c>
      <c r="C49" s="299">
        <f t="shared" si="3"/>
        <v>0</v>
      </c>
      <c r="D49" s="1030"/>
      <c r="E49" s="1029"/>
      <c r="F49" s="230"/>
      <c r="H49" s="376">
        <f>'1.2.sz.mell. '!C49+'1.3.sz.mell.'!C49+'1.4.sz.mell. '!C49+'1.5.sz.mell.'!C49</f>
        <v>0</v>
      </c>
      <c r="I49" s="378">
        <f t="shared" si="1"/>
        <v>0</v>
      </c>
    </row>
    <row r="50" spans="1:9" s="191" customFormat="1" ht="12" customHeight="1" thickBot="1" x14ac:dyDescent="0.25">
      <c r="A50" s="11" t="s">
        <v>218</v>
      </c>
      <c r="B50" s="193" t="s">
        <v>228</v>
      </c>
      <c r="C50" s="299">
        <f t="shared" si="3"/>
        <v>0</v>
      </c>
      <c r="D50" s="1030"/>
      <c r="E50" s="1029"/>
      <c r="F50" s="230"/>
      <c r="H50" s="376">
        <f>'1.2.sz.mell. '!C50+'1.3.sz.mell.'!C50+'1.4.sz.mell. '!C50+'1.5.sz.mell.'!C50</f>
        <v>0</v>
      </c>
      <c r="I50" s="378">
        <f t="shared" si="1"/>
        <v>0</v>
      </c>
    </row>
    <row r="51" spans="1:9" s="191" customFormat="1" ht="12" customHeight="1" thickBot="1" x14ac:dyDescent="0.25">
      <c r="A51" s="13" t="s">
        <v>219</v>
      </c>
      <c r="B51" s="194" t="s">
        <v>440</v>
      </c>
      <c r="C51" s="299">
        <f t="shared" si="3"/>
        <v>1000000</v>
      </c>
      <c r="D51" s="1031">
        <v>1000000</v>
      </c>
      <c r="E51" s="181"/>
      <c r="F51" s="230"/>
      <c r="H51" s="376">
        <f>'1.2.sz.mell. '!C51+'1.3.sz.mell.'!C51+'1.4.sz.mell. '!C51+'1.5.sz.mell.'!C51</f>
        <v>1000000</v>
      </c>
      <c r="I51" s="378">
        <f t="shared" si="1"/>
        <v>0</v>
      </c>
    </row>
    <row r="52" spans="1:9" s="191" customFormat="1" ht="12" customHeight="1" thickBot="1" x14ac:dyDescent="0.25">
      <c r="A52" s="13" t="s">
        <v>441</v>
      </c>
      <c r="B52" s="113" t="s">
        <v>229</v>
      </c>
      <c r="C52" s="468">
        <f t="shared" si="3"/>
        <v>1621777</v>
      </c>
      <c r="D52" s="1031">
        <f>1514062+4715</f>
        <v>1518777</v>
      </c>
      <c r="E52" s="181">
        <v>100000</v>
      </c>
      <c r="F52" s="230">
        <v>3000</v>
      </c>
      <c r="H52" s="376">
        <f>'1.2.sz.mell. '!C52+'1.3.sz.mell.'!C52+'1.4.sz.mell. '!C52+'1.5.sz.mell.'!C52</f>
        <v>1621777</v>
      </c>
      <c r="I52" s="379">
        <f t="shared" si="1"/>
        <v>0</v>
      </c>
    </row>
    <row r="53" spans="1:9" s="191" customFormat="1" ht="12" customHeight="1" thickBot="1" x14ac:dyDescent="0.25">
      <c r="A53" s="17" t="s">
        <v>24</v>
      </c>
      <c r="B53" s="18" t="s">
        <v>230</v>
      </c>
      <c r="C53" s="121">
        <f t="shared" si="3"/>
        <v>63000000</v>
      </c>
      <c r="D53" s="276">
        <f>SUM(D54:D58)</f>
        <v>63000000</v>
      </c>
      <c r="E53" s="116">
        <f>SUM(E54:E58)</f>
        <v>0</v>
      </c>
      <c r="F53" s="116">
        <f>SUM(F54:F58)</f>
        <v>0</v>
      </c>
      <c r="H53" s="376">
        <f>'1.2.sz.mell. '!C53+'1.3.sz.mell.'!C53+'1.4.sz.mell. '!C53+'1.5.sz.mell.'!C53</f>
        <v>63000000</v>
      </c>
      <c r="I53" s="376">
        <f t="shared" si="1"/>
        <v>0</v>
      </c>
    </row>
    <row r="54" spans="1:9" s="191" customFormat="1" ht="12" customHeight="1" thickBot="1" x14ac:dyDescent="0.25">
      <c r="A54" s="12" t="s">
        <v>93</v>
      </c>
      <c r="B54" s="192" t="s">
        <v>234</v>
      </c>
      <c r="C54" s="1224">
        <f t="shared" si="3"/>
        <v>0</v>
      </c>
      <c r="D54" s="1032"/>
      <c r="E54" s="230"/>
      <c r="F54" s="230"/>
      <c r="H54" s="376">
        <f>'1.2.sz.mell. '!C54+'1.3.sz.mell.'!C54+'1.4.sz.mell. '!C54+'1.5.sz.mell.'!C54</f>
        <v>0</v>
      </c>
      <c r="I54" s="377">
        <f t="shared" si="1"/>
        <v>0</v>
      </c>
    </row>
    <row r="55" spans="1:9" s="191" customFormat="1" ht="12" customHeight="1" thickBot="1" x14ac:dyDescent="0.25">
      <c r="A55" s="11" t="s">
        <v>94</v>
      </c>
      <c r="B55" s="193" t="s">
        <v>235</v>
      </c>
      <c r="C55" s="299">
        <f t="shared" si="3"/>
        <v>63000000</v>
      </c>
      <c r="D55" s="1030">
        <v>63000000</v>
      </c>
      <c r="E55" s="1029"/>
      <c r="F55" s="1029"/>
      <c r="H55" s="376">
        <f>'1.2.sz.mell. '!C55+'1.3.sz.mell.'!C55+'1.4.sz.mell. '!C55+'1.5.sz.mell.'!C55</f>
        <v>63000000</v>
      </c>
      <c r="I55" s="378">
        <f t="shared" si="1"/>
        <v>0</v>
      </c>
    </row>
    <row r="56" spans="1:9" s="191" customFormat="1" ht="12" customHeight="1" thickBot="1" x14ac:dyDescent="0.25">
      <c r="A56" s="11" t="s">
        <v>231</v>
      </c>
      <c r="B56" s="193" t="s">
        <v>236</v>
      </c>
      <c r="C56" s="299">
        <f t="shared" si="3"/>
        <v>0</v>
      </c>
      <c r="D56" s="1030"/>
      <c r="E56" s="1029"/>
      <c r="F56" s="1029"/>
      <c r="H56" s="376">
        <f>'1.2.sz.mell. '!C56+'1.3.sz.mell.'!C56+'1.4.sz.mell. '!C56+'1.5.sz.mell.'!C56</f>
        <v>0</v>
      </c>
      <c r="I56" s="378">
        <f t="shared" si="1"/>
        <v>0</v>
      </c>
    </row>
    <row r="57" spans="1:9" s="191" customFormat="1" ht="12" customHeight="1" thickBot="1" x14ac:dyDescent="0.25">
      <c r="A57" s="11" t="s">
        <v>232</v>
      </c>
      <c r="B57" s="193" t="s">
        <v>237</v>
      </c>
      <c r="C57" s="299">
        <f t="shared" si="3"/>
        <v>0</v>
      </c>
      <c r="D57" s="1030"/>
      <c r="E57" s="1029"/>
      <c r="F57" s="1029"/>
      <c r="H57" s="376">
        <f>'1.2.sz.mell. '!C57+'1.3.sz.mell.'!C57+'1.4.sz.mell. '!C57+'1.5.sz.mell.'!C57</f>
        <v>0</v>
      </c>
      <c r="I57" s="378">
        <f t="shared" si="1"/>
        <v>0</v>
      </c>
    </row>
    <row r="58" spans="1:9" s="191" customFormat="1" ht="12" customHeight="1" thickBot="1" x14ac:dyDescent="0.25">
      <c r="A58" s="13" t="s">
        <v>233</v>
      </c>
      <c r="B58" s="113" t="s">
        <v>238</v>
      </c>
      <c r="C58" s="1225">
        <f t="shared" si="3"/>
        <v>0</v>
      </c>
      <c r="D58" s="1031"/>
      <c r="E58" s="181"/>
      <c r="F58" s="181"/>
      <c r="H58" s="376">
        <f>'1.2.sz.mell. '!C58+'1.3.sz.mell.'!C58+'1.4.sz.mell. '!C58+'1.5.sz.mell.'!C58</f>
        <v>0</v>
      </c>
      <c r="I58" s="379">
        <f t="shared" si="1"/>
        <v>0</v>
      </c>
    </row>
    <row r="59" spans="1:9" s="191" customFormat="1" ht="12" customHeight="1" thickBot="1" x14ac:dyDescent="0.25">
      <c r="A59" s="17" t="s">
        <v>143</v>
      </c>
      <c r="B59" s="446" t="s">
        <v>239</v>
      </c>
      <c r="C59" s="545">
        <f t="shared" si="3"/>
        <v>1200000</v>
      </c>
      <c r="D59" s="276">
        <f>SUM(D60:D62)</f>
        <v>1200000</v>
      </c>
      <c r="E59" s="116">
        <f>SUM(E60:E62)</f>
        <v>0</v>
      </c>
      <c r="F59" s="116">
        <f>SUM(F60:F62)</f>
        <v>0</v>
      </c>
      <c r="H59" s="376">
        <f>'1.2.sz.mell. '!C59+'1.3.sz.mell.'!C59+'1.4.sz.mell. '!C59+'1.5.sz.mell.'!C59</f>
        <v>1200000</v>
      </c>
      <c r="I59" s="376">
        <f t="shared" si="1"/>
        <v>0</v>
      </c>
    </row>
    <row r="60" spans="1:9" s="191" customFormat="1" ht="12" customHeight="1" thickBot="1" x14ac:dyDescent="0.25">
      <c r="A60" s="12" t="s">
        <v>95</v>
      </c>
      <c r="B60" s="192" t="s">
        <v>240</v>
      </c>
      <c r="C60" s="1148">
        <f t="shared" si="3"/>
        <v>0</v>
      </c>
      <c r="D60" s="278"/>
      <c r="E60" s="118"/>
      <c r="F60" s="118"/>
      <c r="H60" s="376">
        <f>'1.2.sz.mell. '!C60+'1.3.sz.mell.'!C60+'1.4.sz.mell. '!C60+'1.5.sz.mell.'!C60</f>
        <v>0</v>
      </c>
      <c r="I60" s="377">
        <f t="shared" si="1"/>
        <v>0</v>
      </c>
    </row>
    <row r="61" spans="1:9" s="191" customFormat="1" ht="12" customHeight="1" thickBot="1" x14ac:dyDescent="0.25">
      <c r="A61" s="11" t="s">
        <v>96</v>
      </c>
      <c r="B61" s="193" t="s">
        <v>371</v>
      </c>
      <c r="C61" s="299">
        <f t="shared" si="3"/>
        <v>200000</v>
      </c>
      <c r="D61" s="1030">
        <v>200000</v>
      </c>
      <c r="E61" s="1029"/>
      <c r="F61" s="1029"/>
      <c r="H61" s="376">
        <f>'1.2.sz.mell. '!C61+'1.3.sz.mell.'!C61+'1.4.sz.mell. '!C61+'1.5.sz.mell.'!C61</f>
        <v>200000</v>
      </c>
      <c r="I61" s="378">
        <f t="shared" si="1"/>
        <v>0</v>
      </c>
    </row>
    <row r="62" spans="1:9" s="191" customFormat="1" ht="12" customHeight="1" thickBot="1" x14ac:dyDescent="0.25">
      <c r="A62" s="11" t="s">
        <v>243</v>
      </c>
      <c r="B62" s="193" t="s">
        <v>241</v>
      </c>
      <c r="C62" s="299">
        <f t="shared" si="3"/>
        <v>1000000</v>
      </c>
      <c r="D62" s="1030">
        <v>1000000</v>
      </c>
      <c r="E62" s="1029"/>
      <c r="F62" s="1029"/>
      <c r="H62" s="376">
        <f>'1.2.sz.mell. '!C62+'1.3.sz.mell.'!C62+'1.4.sz.mell. '!C62+'1.5.sz.mell.'!C62</f>
        <v>1000000</v>
      </c>
      <c r="I62" s="378">
        <f t="shared" si="1"/>
        <v>0</v>
      </c>
    </row>
    <row r="63" spans="1:9" s="191" customFormat="1" ht="12" customHeight="1" thickBot="1" x14ac:dyDescent="0.25">
      <c r="A63" s="13" t="s">
        <v>244</v>
      </c>
      <c r="B63" s="113" t="s">
        <v>242</v>
      </c>
      <c r="C63" s="468">
        <f t="shared" si="3"/>
        <v>0</v>
      </c>
      <c r="D63" s="106"/>
      <c r="E63" s="119"/>
      <c r="F63" s="119"/>
      <c r="H63" s="376">
        <f>'1.2.sz.mell. '!C63+'1.3.sz.mell.'!C63+'1.4.sz.mell. '!C63+'1.5.sz.mell.'!C63</f>
        <v>0</v>
      </c>
      <c r="I63" s="379">
        <f t="shared" si="1"/>
        <v>0</v>
      </c>
    </row>
    <row r="64" spans="1:9" s="191" customFormat="1" ht="12" customHeight="1" thickBot="1" x14ac:dyDescent="0.25">
      <c r="A64" s="17" t="s">
        <v>26</v>
      </c>
      <c r="B64" s="111" t="s">
        <v>245</v>
      </c>
      <c r="C64" s="121">
        <f t="shared" si="3"/>
        <v>0</v>
      </c>
      <c r="D64" s="276">
        <f>SUM(D65:D67)</f>
        <v>0</v>
      </c>
      <c r="E64" s="116">
        <f>SUM(E65:E67)</f>
        <v>0</v>
      </c>
      <c r="F64" s="116">
        <f>SUM(F65:F67)</f>
        <v>0</v>
      </c>
      <c r="H64" s="376">
        <f>'1.2.sz.mell. '!C64+'1.3.sz.mell.'!C64+'1.4.sz.mell. '!C64+'1.5.sz.mell.'!C64</f>
        <v>0</v>
      </c>
      <c r="I64" s="376">
        <f t="shared" si="1"/>
        <v>0</v>
      </c>
    </row>
    <row r="65" spans="1:9" s="191" customFormat="1" ht="12" customHeight="1" thickBot="1" x14ac:dyDescent="0.25">
      <c r="A65" s="12" t="s">
        <v>144</v>
      </c>
      <c r="B65" s="192" t="s">
        <v>247</v>
      </c>
      <c r="C65" s="1224">
        <f t="shared" si="3"/>
        <v>0</v>
      </c>
      <c r="D65" s="1030"/>
      <c r="E65" s="1029"/>
      <c r="F65" s="1029"/>
      <c r="H65" s="376">
        <f>'1.2.sz.mell. '!C65+'1.3.sz.mell.'!C65+'1.4.sz.mell. '!C65+'1.5.sz.mell.'!C65</f>
        <v>0</v>
      </c>
      <c r="I65" s="377">
        <f t="shared" si="1"/>
        <v>0</v>
      </c>
    </row>
    <row r="66" spans="1:9" s="191" customFormat="1" ht="12" customHeight="1" thickBot="1" x14ac:dyDescent="0.25">
      <c r="A66" s="11" t="s">
        <v>145</v>
      </c>
      <c r="B66" s="193" t="s">
        <v>372</v>
      </c>
      <c r="C66" s="1149">
        <f t="shared" si="3"/>
        <v>0</v>
      </c>
      <c r="D66" s="1030"/>
      <c r="E66" s="1029"/>
      <c r="F66" s="1029"/>
      <c r="H66" s="376">
        <f>'1.2.sz.mell. '!C66+'1.3.sz.mell.'!C66+'1.4.sz.mell. '!C66+'1.5.sz.mell.'!C66</f>
        <v>0</v>
      </c>
      <c r="I66" s="378">
        <f t="shared" si="1"/>
        <v>0</v>
      </c>
    </row>
    <row r="67" spans="1:9" s="191" customFormat="1" ht="12" customHeight="1" thickBot="1" x14ac:dyDescent="0.25">
      <c r="A67" s="11" t="s">
        <v>171</v>
      </c>
      <c r="B67" s="193" t="s">
        <v>248</v>
      </c>
      <c r="C67" s="1149">
        <f t="shared" si="3"/>
        <v>0</v>
      </c>
      <c r="D67" s="1030"/>
      <c r="E67" s="1029"/>
      <c r="F67" s="1029"/>
      <c r="H67" s="376">
        <f>'1.2.sz.mell. '!C67+'1.3.sz.mell.'!C67+'1.4.sz.mell. '!C67+'1.5.sz.mell.'!C67</f>
        <v>0</v>
      </c>
      <c r="I67" s="378">
        <f t="shared" si="1"/>
        <v>0</v>
      </c>
    </row>
    <row r="68" spans="1:9" s="191" customFormat="1" ht="12" customHeight="1" thickBot="1" x14ac:dyDescent="0.25">
      <c r="A68" s="13" t="s">
        <v>246</v>
      </c>
      <c r="B68" s="113" t="s">
        <v>249</v>
      </c>
      <c r="C68" s="468">
        <f t="shared" si="3"/>
        <v>0</v>
      </c>
      <c r="D68" s="1030"/>
      <c r="E68" s="1029"/>
      <c r="F68" s="1029"/>
      <c r="H68" s="376">
        <f>'1.2.sz.mell. '!C68+'1.3.sz.mell.'!C68+'1.4.sz.mell. '!C68+'1.5.sz.mell.'!C68</f>
        <v>0</v>
      </c>
      <c r="I68" s="379">
        <f t="shared" si="1"/>
        <v>0</v>
      </c>
    </row>
    <row r="69" spans="1:9" s="191" customFormat="1" ht="12" customHeight="1" thickBot="1" x14ac:dyDescent="0.25">
      <c r="A69" s="251" t="s">
        <v>442</v>
      </c>
      <c r="B69" s="18" t="s">
        <v>250</v>
      </c>
      <c r="C69" s="121">
        <f t="shared" si="3"/>
        <v>2958996769</v>
      </c>
      <c r="D69" s="279">
        <f>+D11+D20+D27+D34+D41+D53+D59+D64</f>
        <v>2498930226</v>
      </c>
      <c r="E69" s="121">
        <f>+E11+E20+E27+E34+E41+E53+E59+E64</f>
        <v>10088614</v>
      </c>
      <c r="F69" s="121">
        <f>+F11+F20+F27+F34+F41+F53+F59+F64</f>
        <v>449977929</v>
      </c>
      <c r="H69" s="376">
        <f>'1.2.sz.mell. '!C69+'1.3.sz.mell.'!C69+'1.4.sz.mell. '!C69+'1.5.sz.mell.'!C69</f>
        <v>2958996769</v>
      </c>
      <c r="I69" s="376">
        <f t="shared" si="1"/>
        <v>0</v>
      </c>
    </row>
    <row r="70" spans="1:9" s="191" customFormat="1" ht="12" customHeight="1" thickBot="1" x14ac:dyDescent="0.25">
      <c r="A70" s="252" t="s">
        <v>251</v>
      </c>
      <c r="B70" s="111" t="s">
        <v>252</v>
      </c>
      <c r="C70" s="121">
        <f t="shared" si="3"/>
        <v>868562529</v>
      </c>
      <c r="D70" s="276">
        <f>SUM(D71:D73)</f>
        <v>868562529</v>
      </c>
      <c r="E70" s="116">
        <f>SUM(E71:E73)</f>
        <v>0</v>
      </c>
      <c r="F70" s="116">
        <f>SUM(F71:F73)</f>
        <v>0</v>
      </c>
      <c r="H70" s="376">
        <f>'1.2.sz.mell. '!C70+'1.3.sz.mell.'!C70+'1.4.sz.mell. '!C70+'1.5.sz.mell.'!C70</f>
        <v>868562529</v>
      </c>
      <c r="I70" s="376">
        <f t="shared" si="1"/>
        <v>0</v>
      </c>
    </row>
    <row r="71" spans="1:9" s="191" customFormat="1" ht="12" customHeight="1" thickBot="1" x14ac:dyDescent="0.25">
      <c r="A71" s="12" t="s">
        <v>283</v>
      </c>
      <c r="B71" s="192" t="s">
        <v>253</v>
      </c>
      <c r="C71" s="467">
        <f t="shared" si="3"/>
        <v>18562529</v>
      </c>
      <c r="D71" s="1030">
        <f>11503705+7058824</f>
        <v>18562529</v>
      </c>
      <c r="E71" s="1029"/>
      <c r="F71" s="1029"/>
      <c r="H71" s="376">
        <f>'1.2.sz.mell. '!C71+'1.3.sz.mell.'!C71+'1.4.sz.mell. '!C71+'1.5.sz.mell.'!C71</f>
        <v>18562529</v>
      </c>
      <c r="I71" s="377">
        <f t="shared" si="1"/>
        <v>0</v>
      </c>
    </row>
    <row r="72" spans="1:9" s="191" customFormat="1" ht="12" customHeight="1" thickBot="1" x14ac:dyDescent="0.25">
      <c r="A72" s="11" t="s">
        <v>292</v>
      </c>
      <c r="B72" s="193" t="s">
        <v>254</v>
      </c>
      <c r="C72" s="299">
        <f t="shared" si="3"/>
        <v>850000000</v>
      </c>
      <c r="D72" s="1030">
        <v>850000000</v>
      </c>
      <c r="E72" s="1029"/>
      <c r="F72" s="1029"/>
      <c r="H72" s="376">
        <f>'1.2.sz.mell. '!C72+'1.3.sz.mell.'!C72+'1.4.sz.mell. '!C72+'1.5.sz.mell.'!C72</f>
        <v>850000000</v>
      </c>
      <c r="I72" s="378">
        <f t="shared" si="1"/>
        <v>0</v>
      </c>
    </row>
    <row r="73" spans="1:9" s="191" customFormat="1" ht="12" customHeight="1" thickBot="1" x14ac:dyDescent="0.25">
      <c r="A73" s="13" t="s">
        <v>293</v>
      </c>
      <c r="B73" s="253" t="s">
        <v>443</v>
      </c>
      <c r="C73" s="1225">
        <f t="shared" si="3"/>
        <v>0</v>
      </c>
      <c r="D73" s="1030"/>
      <c r="E73" s="1029"/>
      <c r="F73" s="1029"/>
      <c r="H73" s="376">
        <f>'1.2.sz.mell. '!C73+'1.3.sz.mell.'!C73+'1.4.sz.mell. '!C73+'1.5.sz.mell.'!C73</f>
        <v>0</v>
      </c>
      <c r="I73" s="379">
        <f t="shared" si="1"/>
        <v>0</v>
      </c>
    </row>
    <row r="74" spans="1:9" s="191" customFormat="1" ht="12" customHeight="1" thickBot="1" x14ac:dyDescent="0.25">
      <c r="A74" s="252" t="s">
        <v>256</v>
      </c>
      <c r="B74" s="111" t="s">
        <v>257</v>
      </c>
      <c r="C74" s="121">
        <f t="shared" si="3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  <c r="H74" s="376">
        <f>'1.2.sz.mell. '!C74+'1.3.sz.mell.'!C74+'1.4.sz.mell. '!C74+'1.5.sz.mell.'!C74</f>
        <v>0</v>
      </c>
      <c r="I74" s="376">
        <f t="shared" si="1"/>
        <v>0</v>
      </c>
    </row>
    <row r="75" spans="1:9" s="191" customFormat="1" ht="12" customHeight="1" thickBot="1" x14ac:dyDescent="0.25">
      <c r="A75" s="12" t="s">
        <v>124</v>
      </c>
      <c r="B75" s="192" t="s">
        <v>258</v>
      </c>
      <c r="C75" s="1224">
        <f t="shared" si="3"/>
        <v>0</v>
      </c>
      <c r="D75" s="1030"/>
      <c r="E75" s="1029"/>
      <c r="F75" s="1029"/>
      <c r="H75" s="376">
        <f>'1.2.sz.mell. '!C75+'1.3.sz.mell.'!C75+'1.4.sz.mell. '!C75+'1.5.sz.mell.'!C75</f>
        <v>0</v>
      </c>
      <c r="I75" s="377">
        <f t="shared" si="1"/>
        <v>0</v>
      </c>
    </row>
    <row r="76" spans="1:9" s="191" customFormat="1" ht="12" customHeight="1" thickBot="1" x14ac:dyDescent="0.25">
      <c r="A76" s="11" t="s">
        <v>125</v>
      </c>
      <c r="B76" s="193" t="s">
        <v>863</v>
      </c>
      <c r="C76" s="1149">
        <f t="shared" si="3"/>
        <v>0</v>
      </c>
      <c r="D76" s="1030"/>
      <c r="E76" s="1029"/>
      <c r="F76" s="1029"/>
      <c r="H76" s="376">
        <f>'1.2.sz.mell. '!C76+'1.3.sz.mell.'!C76+'1.4.sz.mell. '!C76+'1.5.sz.mell.'!C76</f>
        <v>0</v>
      </c>
      <c r="I76" s="378">
        <f t="shared" ref="I76:I94" si="4">C76-H76</f>
        <v>0</v>
      </c>
    </row>
    <row r="77" spans="1:9" s="191" customFormat="1" ht="12" customHeight="1" thickBot="1" x14ac:dyDescent="0.25">
      <c r="A77" s="11" t="s">
        <v>284</v>
      </c>
      <c r="B77" s="193" t="s">
        <v>260</v>
      </c>
      <c r="C77" s="1149">
        <f t="shared" si="3"/>
        <v>0</v>
      </c>
      <c r="D77" s="1030"/>
      <c r="E77" s="1029"/>
      <c r="F77" s="1029"/>
      <c r="H77" s="376">
        <f>'1.2.sz.mell. '!C77+'1.3.sz.mell.'!C77+'1.4.sz.mell. '!C77+'1.5.sz.mell.'!C77</f>
        <v>0</v>
      </c>
      <c r="I77" s="378">
        <f t="shared" si="4"/>
        <v>0</v>
      </c>
    </row>
    <row r="78" spans="1:9" s="191" customFormat="1" ht="12" customHeight="1" thickBot="1" x14ac:dyDescent="0.25">
      <c r="A78" s="13" t="s">
        <v>285</v>
      </c>
      <c r="B78" s="113" t="s">
        <v>864</v>
      </c>
      <c r="C78" s="1225">
        <f t="shared" si="3"/>
        <v>0</v>
      </c>
      <c r="D78" s="1030"/>
      <c r="E78" s="1029"/>
      <c r="F78" s="1029"/>
      <c r="H78" s="376">
        <f>'1.2.sz.mell. '!C78+'1.3.sz.mell.'!C78+'1.4.sz.mell. '!C78+'1.5.sz.mell.'!C78</f>
        <v>0</v>
      </c>
      <c r="I78" s="379">
        <f t="shared" si="4"/>
        <v>0</v>
      </c>
    </row>
    <row r="79" spans="1:9" s="191" customFormat="1" ht="12" customHeight="1" thickBot="1" x14ac:dyDescent="0.25">
      <c r="A79" s="252" t="s">
        <v>262</v>
      </c>
      <c r="B79" s="111" t="s">
        <v>263</v>
      </c>
      <c r="C79" s="121">
        <f t="shared" si="3"/>
        <v>856482639</v>
      </c>
      <c r="D79" s="276">
        <f>SUM(D80:D81)</f>
        <v>847491815</v>
      </c>
      <c r="E79" s="116">
        <f>SUM(E80:E81)</f>
        <v>216699</v>
      </c>
      <c r="F79" s="116">
        <f>SUM(F80:F81)</f>
        <v>8774125</v>
      </c>
      <c r="H79" s="376">
        <f>'1.2.sz.mell. '!C79+'1.3.sz.mell.'!C79+'1.4.sz.mell. '!C79+'1.5.sz.mell.'!C79</f>
        <v>856482639</v>
      </c>
      <c r="I79" s="376">
        <f t="shared" si="4"/>
        <v>0</v>
      </c>
    </row>
    <row r="80" spans="1:9" s="191" customFormat="1" ht="12" customHeight="1" thickBot="1" x14ac:dyDescent="0.25">
      <c r="A80" s="12" t="s">
        <v>286</v>
      </c>
      <c r="B80" s="192" t="s">
        <v>264</v>
      </c>
      <c r="C80" s="467">
        <f t="shared" si="3"/>
        <v>856482639</v>
      </c>
      <c r="D80" s="1030">
        <v>847491815</v>
      </c>
      <c r="E80" s="1029">
        <v>216699</v>
      </c>
      <c r="F80" s="1029">
        <f>284491+913769+284096+1261346+6030423</f>
        <v>8774125</v>
      </c>
      <c r="H80" s="376">
        <f>'1.2.sz.mell. '!C80+'1.3.sz.mell.'!C80+'1.4.sz.mell. '!C80+'1.5.sz.mell.'!C80</f>
        <v>856482639</v>
      </c>
      <c r="I80" s="377">
        <f t="shared" si="4"/>
        <v>0</v>
      </c>
    </row>
    <row r="81" spans="1:9" s="191" customFormat="1" ht="12" customHeight="1" thickBot="1" x14ac:dyDescent="0.25">
      <c r="A81" s="13" t="s">
        <v>287</v>
      </c>
      <c r="B81" s="113" t="s">
        <v>265</v>
      </c>
      <c r="C81" s="1225">
        <f t="shared" si="3"/>
        <v>0</v>
      </c>
      <c r="D81" s="1030"/>
      <c r="E81" s="1029"/>
      <c r="F81" s="1029"/>
      <c r="H81" s="376">
        <f>'1.2.sz.mell. '!C81+'1.3.sz.mell.'!C81+'1.4.sz.mell. '!C81+'1.5.sz.mell.'!C81</f>
        <v>0</v>
      </c>
      <c r="I81" s="379">
        <f t="shared" si="4"/>
        <v>0</v>
      </c>
    </row>
    <row r="82" spans="1:9" s="191" customFormat="1" ht="12" customHeight="1" thickBot="1" x14ac:dyDescent="0.25">
      <c r="A82" s="252" t="s">
        <v>266</v>
      </c>
      <c r="B82" s="111" t="s">
        <v>267</v>
      </c>
      <c r="C82" s="121">
        <f t="shared" si="3"/>
        <v>48966750</v>
      </c>
      <c r="D82" s="276">
        <f>SUM(D83:D85)</f>
        <v>48966750</v>
      </c>
      <c r="E82" s="116">
        <f>SUM(E83:E85)</f>
        <v>0</v>
      </c>
      <c r="F82" s="116">
        <f>SUM(F83:F85)</f>
        <v>0</v>
      </c>
      <c r="H82" s="376">
        <f>'1.2.sz.mell. '!C82+'1.3.sz.mell.'!C82+'1.4.sz.mell. '!C82+'1.5.sz.mell.'!C82</f>
        <v>48966750</v>
      </c>
      <c r="I82" s="376">
        <f t="shared" si="4"/>
        <v>0</v>
      </c>
    </row>
    <row r="83" spans="1:9" s="191" customFormat="1" ht="12" customHeight="1" thickBot="1" x14ac:dyDescent="0.25">
      <c r="A83" s="12" t="s">
        <v>288</v>
      </c>
      <c r="B83" s="192" t="s">
        <v>268</v>
      </c>
      <c r="C83" s="467">
        <f t="shared" si="3"/>
        <v>48966750</v>
      </c>
      <c r="D83" s="1030">
        <v>48966750</v>
      </c>
      <c r="E83" s="1029"/>
      <c r="F83" s="1029"/>
      <c r="H83" s="376">
        <f>'1.2.sz.mell. '!C83+'1.3.sz.mell.'!C83+'1.4.sz.mell. '!C83+'1.5.sz.mell.'!C83</f>
        <v>48966750</v>
      </c>
      <c r="I83" s="377">
        <f t="shared" si="4"/>
        <v>0</v>
      </c>
    </row>
    <row r="84" spans="1:9" s="191" customFormat="1" ht="12" customHeight="1" thickBot="1" x14ac:dyDescent="0.25">
      <c r="A84" s="11" t="s">
        <v>289</v>
      </c>
      <c r="B84" s="193" t="s">
        <v>269</v>
      </c>
      <c r="C84" s="1149">
        <f t="shared" si="3"/>
        <v>0</v>
      </c>
      <c r="D84" s="1030"/>
      <c r="E84" s="1029"/>
      <c r="F84" s="1029"/>
      <c r="H84" s="376">
        <f>'1.2.sz.mell. '!C84+'1.3.sz.mell.'!C84+'1.4.sz.mell. '!C84+'1.5.sz.mell.'!C84</f>
        <v>0</v>
      </c>
      <c r="I84" s="378">
        <f t="shared" si="4"/>
        <v>0</v>
      </c>
    </row>
    <row r="85" spans="1:9" s="191" customFormat="1" ht="12" customHeight="1" thickBot="1" x14ac:dyDescent="0.25">
      <c r="A85" s="13" t="s">
        <v>290</v>
      </c>
      <c r="B85" s="113" t="s">
        <v>865</v>
      </c>
      <c r="C85" s="1225">
        <f t="shared" si="3"/>
        <v>0</v>
      </c>
      <c r="D85" s="1030"/>
      <c r="E85" s="1029"/>
      <c r="F85" s="1029"/>
      <c r="H85" s="376">
        <f>'1.2.sz.mell. '!C85+'1.3.sz.mell.'!C85+'1.4.sz.mell. '!C85+'1.5.sz.mell.'!C85</f>
        <v>0</v>
      </c>
      <c r="I85" s="379">
        <f t="shared" si="4"/>
        <v>0</v>
      </c>
    </row>
    <row r="86" spans="1:9" s="191" customFormat="1" ht="12" customHeight="1" thickBot="1" x14ac:dyDescent="0.25">
      <c r="A86" s="252" t="s">
        <v>271</v>
      </c>
      <c r="B86" s="111" t="s">
        <v>291</v>
      </c>
      <c r="C86" s="121">
        <f t="shared" si="3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  <c r="H86" s="376">
        <f>'1.2.sz.mell. '!C86+'1.3.sz.mell.'!C86+'1.4.sz.mell. '!C86+'1.5.sz.mell.'!C86</f>
        <v>0</v>
      </c>
      <c r="I86" s="376">
        <f t="shared" si="4"/>
        <v>0</v>
      </c>
    </row>
    <row r="87" spans="1:9" s="191" customFormat="1" ht="12" customHeight="1" thickBot="1" x14ac:dyDescent="0.25">
      <c r="A87" s="196" t="s">
        <v>272</v>
      </c>
      <c r="B87" s="192" t="s">
        <v>273</v>
      </c>
      <c r="C87" s="1224">
        <f t="shared" si="3"/>
        <v>0</v>
      </c>
      <c r="D87" s="1030"/>
      <c r="E87" s="1029"/>
      <c r="F87" s="1029"/>
      <c r="H87" s="376">
        <f>'1.2.sz.mell. '!C87+'1.3.sz.mell.'!C87+'1.4.sz.mell. '!C87+'1.5.sz.mell.'!C87</f>
        <v>0</v>
      </c>
      <c r="I87" s="377">
        <f t="shared" si="4"/>
        <v>0</v>
      </c>
    </row>
    <row r="88" spans="1:9" s="191" customFormat="1" ht="12" customHeight="1" thickBot="1" x14ac:dyDescent="0.25">
      <c r="A88" s="197" t="s">
        <v>274</v>
      </c>
      <c r="B88" s="193" t="s">
        <v>275</v>
      </c>
      <c r="C88" s="1149">
        <f t="shared" si="3"/>
        <v>0</v>
      </c>
      <c r="D88" s="1030"/>
      <c r="E88" s="1029"/>
      <c r="F88" s="1029"/>
      <c r="H88" s="376">
        <f>'1.2.sz.mell. '!C88+'1.3.sz.mell.'!C88+'1.4.sz.mell. '!C88+'1.5.sz.mell.'!C88</f>
        <v>0</v>
      </c>
      <c r="I88" s="378">
        <f t="shared" si="4"/>
        <v>0</v>
      </c>
    </row>
    <row r="89" spans="1:9" s="191" customFormat="1" ht="12" customHeight="1" thickBot="1" x14ac:dyDescent="0.25">
      <c r="A89" s="197" t="s">
        <v>276</v>
      </c>
      <c r="B89" s="193" t="s">
        <v>277</v>
      </c>
      <c r="C89" s="1149">
        <f t="shared" si="3"/>
        <v>0</v>
      </c>
      <c r="D89" s="1030"/>
      <c r="E89" s="1029"/>
      <c r="F89" s="1029"/>
      <c r="H89" s="376">
        <f>'1.2.sz.mell. '!C89+'1.3.sz.mell.'!C89+'1.4.sz.mell. '!C89+'1.5.sz.mell.'!C89</f>
        <v>0</v>
      </c>
      <c r="I89" s="378">
        <f t="shared" si="4"/>
        <v>0</v>
      </c>
    </row>
    <row r="90" spans="1:9" s="191" customFormat="1" ht="12" customHeight="1" thickBot="1" x14ac:dyDescent="0.25">
      <c r="A90" s="198" t="s">
        <v>278</v>
      </c>
      <c r="B90" s="113" t="s">
        <v>279</v>
      </c>
      <c r="C90" s="1225">
        <f t="shared" si="3"/>
        <v>0</v>
      </c>
      <c r="D90" s="1030"/>
      <c r="E90" s="1029"/>
      <c r="F90" s="1029"/>
      <c r="H90" s="376">
        <f>'1.2.sz.mell. '!C90+'1.3.sz.mell.'!C90+'1.4.sz.mell. '!C90+'1.5.sz.mell.'!C90</f>
        <v>0</v>
      </c>
      <c r="I90" s="379">
        <f t="shared" si="4"/>
        <v>0</v>
      </c>
    </row>
    <row r="91" spans="1:9" s="191" customFormat="1" ht="12" customHeight="1" thickBot="1" x14ac:dyDescent="0.25">
      <c r="A91" s="252" t="s">
        <v>280</v>
      </c>
      <c r="B91" s="111" t="s">
        <v>444</v>
      </c>
      <c r="C91" s="121">
        <f t="shared" si="3"/>
        <v>0</v>
      </c>
      <c r="D91" s="281"/>
      <c r="E91" s="231"/>
      <c r="F91" s="231"/>
      <c r="H91" s="376">
        <f>'1.2.sz.mell. '!C91+'1.3.sz.mell.'!C91+'1.4.sz.mell. '!C91+'1.5.sz.mell.'!C91</f>
        <v>0</v>
      </c>
      <c r="I91" s="376">
        <f t="shared" si="4"/>
        <v>0</v>
      </c>
    </row>
    <row r="92" spans="1:9" s="191" customFormat="1" ht="13.5" customHeight="1" thickBot="1" x14ac:dyDescent="0.25">
      <c r="A92" s="252" t="s">
        <v>282</v>
      </c>
      <c r="B92" s="111" t="s">
        <v>281</v>
      </c>
      <c r="C92" s="121">
        <f t="shared" si="3"/>
        <v>0</v>
      </c>
      <c r="D92" s="281"/>
      <c r="E92" s="231"/>
      <c r="F92" s="231"/>
      <c r="H92" s="376">
        <f>'1.2.sz.mell. '!C92+'1.3.sz.mell.'!C92+'1.4.sz.mell. '!C92+'1.5.sz.mell.'!C92</f>
        <v>0</v>
      </c>
      <c r="I92" s="376">
        <f t="shared" si="4"/>
        <v>0</v>
      </c>
    </row>
    <row r="93" spans="1:9" s="191" customFormat="1" ht="15.75" customHeight="1" thickBot="1" x14ac:dyDescent="0.25">
      <c r="A93" s="252" t="s">
        <v>294</v>
      </c>
      <c r="B93" s="199" t="s">
        <v>445</v>
      </c>
      <c r="C93" s="121">
        <f t="shared" si="3"/>
        <v>1774011918</v>
      </c>
      <c r="D93" s="279">
        <f>+D70+D74+D79+D82+D86+D92+D91</f>
        <v>1765021094</v>
      </c>
      <c r="E93" s="121">
        <f>+E70+E74+E79+E82+E86+E92+E91</f>
        <v>216699</v>
      </c>
      <c r="F93" s="121">
        <f>+F70+F74+F79+F82+F86+F92+F91</f>
        <v>8774125</v>
      </c>
      <c r="H93" s="376">
        <f>'1.2.sz.mell. '!C93+'1.3.sz.mell.'!C93+'1.4.sz.mell. '!C93+'1.5.sz.mell.'!C93</f>
        <v>1774011918</v>
      </c>
      <c r="I93" s="376">
        <f t="shared" si="4"/>
        <v>0</v>
      </c>
    </row>
    <row r="94" spans="1:9" s="191" customFormat="1" ht="16.5" customHeight="1" thickBot="1" x14ac:dyDescent="0.25">
      <c r="A94" s="254" t="s">
        <v>446</v>
      </c>
      <c r="B94" s="200" t="s">
        <v>447</v>
      </c>
      <c r="C94" s="121">
        <f t="shared" si="3"/>
        <v>4733008687</v>
      </c>
      <c r="D94" s="279">
        <f>+D69+D93</f>
        <v>4263951320</v>
      </c>
      <c r="E94" s="121">
        <f>+E69+E93</f>
        <v>10305313</v>
      </c>
      <c r="F94" s="121">
        <f>+F69+F93</f>
        <v>458752054</v>
      </c>
      <c r="H94" s="376">
        <f>'1.2.sz.mell. '!C94+'1.3.sz.mell.'!C94+'1.4.sz.mell. '!C94+'1.5.sz.mell.'!C94</f>
        <v>4733008687</v>
      </c>
      <c r="I94" s="376">
        <f t="shared" si="4"/>
        <v>0</v>
      </c>
    </row>
    <row r="95" spans="1:9" s="191" customFormat="1" ht="54" customHeight="1" thickBot="1" x14ac:dyDescent="0.25">
      <c r="A95" s="2"/>
      <c r="B95" s="3"/>
      <c r="C95" s="1226"/>
      <c r="H95" s="376">
        <f>'1.2.sz.mell. '!C95+'1.3.sz.mell.'!C95+'1.4.sz.mell. '!C95+'1.5.sz.mell.'!C95</f>
        <v>0</v>
      </c>
      <c r="I95" s="374"/>
    </row>
    <row r="96" spans="1:9" ht="16.5" customHeight="1" thickBot="1" x14ac:dyDescent="0.3">
      <c r="A96" s="1423" t="s">
        <v>47</v>
      </c>
      <c r="B96" s="1423"/>
      <c r="C96" s="1423"/>
      <c r="D96" s="649"/>
      <c r="H96" s="376">
        <f>'1.2.sz.mell. '!C96+'1.3.sz.mell.'!C96+'1.4.sz.mell. '!C96+'1.5.sz.mell.'!C96</f>
        <v>0</v>
      </c>
      <c r="I96" s="374"/>
    </row>
    <row r="97" spans="1:9" s="579" customFormat="1" ht="16.5" customHeight="1" thickBot="1" x14ac:dyDescent="0.3">
      <c r="A97" s="1424" t="s">
        <v>127</v>
      </c>
      <c r="B97" s="1424"/>
      <c r="C97" s="1150" t="s">
        <v>539</v>
      </c>
      <c r="H97" s="376" t="e">
        <f>'1.2.sz.mell. '!C97+'1.3.sz.mell.'!C97+'1.4.sz.mell. '!C97+'1.5.sz.mell.'!C97</f>
        <v>#VALUE!</v>
      </c>
      <c r="I97" s="374"/>
    </row>
    <row r="98" spans="1:9" ht="38.1" customHeight="1" thickBot="1" x14ac:dyDescent="0.3">
      <c r="A98" s="20" t="s">
        <v>70</v>
      </c>
      <c r="B98" s="21" t="s">
        <v>48</v>
      </c>
      <c r="C98" s="585" t="str">
        <f>+C9</f>
        <v>2021. évi előirányzat</v>
      </c>
      <c r="D98" s="178" t="s">
        <v>545</v>
      </c>
      <c r="E98" s="178" t="s">
        <v>546</v>
      </c>
      <c r="F98" s="178" t="s">
        <v>547</v>
      </c>
      <c r="H98" s="376" t="e">
        <f>'1.2.sz.mell. '!C98+'1.3.sz.mell.'!C98+'1.4.sz.mell. '!C98+'1.5.sz.mell.'!C98</f>
        <v>#VALUE!</v>
      </c>
      <c r="I98" s="374"/>
    </row>
    <row r="99" spans="1:9" s="190" customFormat="1" ht="12" customHeight="1" thickBot="1" x14ac:dyDescent="0.25">
      <c r="A99" s="25" t="s">
        <v>434</v>
      </c>
      <c r="B99" s="26" t="s">
        <v>435</v>
      </c>
      <c r="C99" s="1223" t="s">
        <v>436</v>
      </c>
      <c r="H99" s="376" t="e">
        <f>'1.2.sz.mell. '!C99+'1.3.sz.mell.'!C99+'1.4.sz.mell. '!C99+'1.5.sz.mell.'!C99</f>
        <v>#VALUE!</v>
      </c>
      <c r="I99" s="374"/>
    </row>
    <row r="100" spans="1:9" ht="12" customHeight="1" thickBot="1" x14ac:dyDescent="0.3">
      <c r="A100" s="19" t="s">
        <v>19</v>
      </c>
      <c r="B100" s="23" t="s">
        <v>485</v>
      </c>
      <c r="C100" s="1227">
        <f t="shared" ref="C100:C161" si="5">SUM(D100:F100)</f>
        <v>2831433172</v>
      </c>
      <c r="D100" s="284">
        <f>+D101+D102+D103+D104+D105+D118</f>
        <v>836691513</v>
      </c>
      <c r="E100" s="115">
        <f>+E101+E102+E103+E104+E105+E118</f>
        <v>236433590</v>
      </c>
      <c r="F100" s="289">
        <f>F101+F102+F103+F104+F105+F118</f>
        <v>1758308069</v>
      </c>
      <c r="H100" s="376">
        <f>'1.2.sz.mell. '!C100+'1.3.sz.mell.'!C100+'1.4.sz.mell. '!C100+'1.5.sz.mell.'!C100</f>
        <v>2831433172</v>
      </c>
      <c r="I100" s="376">
        <f t="shared" ref="I100:I161" si="6">C100-H100</f>
        <v>0</v>
      </c>
    </row>
    <row r="101" spans="1:9" ht="12" customHeight="1" thickBot="1" x14ac:dyDescent="0.3">
      <c r="A101" s="14" t="s">
        <v>97</v>
      </c>
      <c r="B101" s="7" t="s">
        <v>49</v>
      </c>
      <c r="C101" s="422">
        <f t="shared" si="5"/>
        <v>1258326512</v>
      </c>
      <c r="D101" s="294">
        <v>47896992</v>
      </c>
      <c r="E101" s="270">
        <v>166097510</v>
      </c>
      <c r="F101" s="270">
        <f>82248525+71998629+56715808+218334179+615034869</f>
        <v>1044332010</v>
      </c>
      <c r="H101" s="376">
        <f>'1.2.sz.mell. '!C101+'1.3.sz.mell.'!C101+'1.4.sz.mell. '!C101+'1.5.sz.mell.'!C101</f>
        <v>1258326512</v>
      </c>
      <c r="I101" s="377">
        <f t="shared" si="6"/>
        <v>0</v>
      </c>
    </row>
    <row r="102" spans="1:9" ht="12" customHeight="1" thickBot="1" x14ac:dyDescent="0.3">
      <c r="A102" s="11" t="s">
        <v>98</v>
      </c>
      <c r="B102" s="5" t="s">
        <v>146</v>
      </c>
      <c r="C102" s="422">
        <f t="shared" si="5"/>
        <v>215518047</v>
      </c>
      <c r="D102" s="265">
        <v>8163648</v>
      </c>
      <c r="E102" s="120">
        <v>29077925</v>
      </c>
      <c r="F102" s="1029">
        <f>13031917+11651828+9106816+38909967+105575946</f>
        <v>178276474</v>
      </c>
      <c r="H102" s="376">
        <f>'1.2.sz.mell. '!C102+'1.3.sz.mell.'!C102+'1.4.sz.mell. '!C102+'1.5.sz.mell.'!C102</f>
        <v>215518047</v>
      </c>
      <c r="I102" s="378">
        <f t="shared" si="6"/>
        <v>0</v>
      </c>
    </row>
    <row r="103" spans="1:9" ht="12" customHeight="1" thickBot="1" x14ac:dyDescent="0.3">
      <c r="A103" s="11" t="s">
        <v>99</v>
      </c>
      <c r="B103" s="5" t="s">
        <v>122</v>
      </c>
      <c r="C103" s="422">
        <f>SUM(D103:F103)</f>
        <v>985774764</v>
      </c>
      <c r="D103" s="268">
        <f>408709299+107725</f>
        <v>408817024</v>
      </c>
      <c r="E103" s="181">
        <v>41258155</v>
      </c>
      <c r="F103" s="1029">
        <f>16220856+149872937+61195180+87035872+221374740</f>
        <v>535699585</v>
      </c>
      <c r="H103" s="376">
        <f>'1.2.sz.mell. '!C103+'1.3.sz.mell.'!C103+'1.4.sz.mell. '!C103+'1.5.sz.mell.'!C103</f>
        <v>985774764</v>
      </c>
      <c r="I103" s="378">
        <f t="shared" si="6"/>
        <v>0</v>
      </c>
    </row>
    <row r="104" spans="1:9" ht="12" customHeight="1" thickBot="1" x14ac:dyDescent="0.3">
      <c r="A104" s="11" t="s">
        <v>100</v>
      </c>
      <c r="B104" s="5" t="s">
        <v>147</v>
      </c>
      <c r="C104" s="422">
        <f t="shared" ref="C104:C120" si="7">SUM(D104:F104)</f>
        <v>56500000</v>
      </c>
      <c r="D104" s="268">
        <v>56500000</v>
      </c>
      <c r="E104" s="181"/>
      <c r="F104" s="181"/>
      <c r="H104" s="376">
        <f>'1.2.sz.mell. '!C104+'1.3.sz.mell.'!C104+'1.4.sz.mell. '!C104+'1.5.sz.mell.'!C104</f>
        <v>56500000</v>
      </c>
      <c r="I104" s="378">
        <f t="shared" si="6"/>
        <v>0</v>
      </c>
    </row>
    <row r="105" spans="1:9" ht="12" customHeight="1" thickBot="1" x14ac:dyDescent="0.3">
      <c r="A105" s="11" t="s">
        <v>111</v>
      </c>
      <c r="B105" s="4" t="s">
        <v>148</v>
      </c>
      <c r="C105" s="422">
        <f t="shared" si="7"/>
        <v>198934698</v>
      </c>
      <c r="D105" s="268">
        <f>SUM(D106:D117)</f>
        <v>198934698</v>
      </c>
      <c r="E105" s="268">
        <f>SUM(E106:E117)</f>
        <v>0</v>
      </c>
      <c r="F105" s="1031">
        <f>SUM(F106:F117)</f>
        <v>0</v>
      </c>
      <c r="H105" s="376">
        <f>'1.2.sz.mell. '!C105+'1.3.sz.mell.'!C105+'1.4.sz.mell. '!C105+'1.5.sz.mell.'!C105</f>
        <v>198934698</v>
      </c>
      <c r="I105" s="378">
        <f t="shared" si="6"/>
        <v>0</v>
      </c>
    </row>
    <row r="106" spans="1:9" ht="12" customHeight="1" thickBot="1" x14ac:dyDescent="0.3">
      <c r="A106" s="11" t="s">
        <v>101</v>
      </c>
      <c r="B106" s="5" t="s">
        <v>448</v>
      </c>
      <c r="C106" s="422">
        <f t="shared" si="7"/>
        <v>140000</v>
      </c>
      <c r="D106" s="268">
        <v>140000</v>
      </c>
      <c r="E106" s="181"/>
      <c r="F106" s="181"/>
      <c r="H106" s="376">
        <f>'1.2.sz.mell. '!C106+'1.3.sz.mell.'!C106+'1.4.sz.mell. '!C106+'1.5.sz.mell.'!C106</f>
        <v>140000</v>
      </c>
      <c r="I106" s="378">
        <f t="shared" si="6"/>
        <v>0</v>
      </c>
    </row>
    <row r="107" spans="1:9" ht="12" customHeight="1" thickBot="1" x14ac:dyDescent="0.3">
      <c r="A107" s="11" t="s">
        <v>102</v>
      </c>
      <c r="B107" s="62" t="s">
        <v>449</v>
      </c>
      <c r="C107" s="422">
        <f t="shared" si="7"/>
        <v>0</v>
      </c>
      <c r="D107" s="268"/>
      <c r="E107" s="181"/>
      <c r="F107" s="181"/>
      <c r="H107" s="376">
        <f>'1.2.sz.mell. '!C107+'1.3.sz.mell.'!C107+'1.4.sz.mell. '!C107+'1.5.sz.mell.'!C107</f>
        <v>0</v>
      </c>
      <c r="I107" s="378">
        <f t="shared" si="6"/>
        <v>0</v>
      </c>
    </row>
    <row r="108" spans="1:9" ht="12" customHeight="1" thickBot="1" x14ac:dyDescent="0.3">
      <c r="A108" s="11" t="s">
        <v>112</v>
      </c>
      <c r="B108" s="62" t="s">
        <v>450</v>
      </c>
      <c r="C108" s="422">
        <f t="shared" si="7"/>
        <v>24566831</v>
      </c>
      <c r="D108" s="268">
        <v>24566831</v>
      </c>
      <c r="E108" s="181"/>
      <c r="F108" s="181"/>
      <c r="H108" s="376">
        <f>'1.2.sz.mell. '!C108+'1.3.sz.mell.'!C108+'1.4.sz.mell. '!C108+'1.5.sz.mell.'!C108</f>
        <v>24566831</v>
      </c>
      <c r="I108" s="378">
        <f t="shared" si="6"/>
        <v>0</v>
      </c>
    </row>
    <row r="109" spans="1:9" ht="12" customHeight="1" thickBot="1" x14ac:dyDescent="0.3">
      <c r="A109" s="11" t="s">
        <v>113</v>
      </c>
      <c r="B109" s="60" t="s">
        <v>297</v>
      </c>
      <c r="C109" s="422">
        <f t="shared" si="7"/>
        <v>0</v>
      </c>
      <c r="D109" s="268"/>
      <c r="E109" s="181"/>
      <c r="F109" s="181"/>
      <c r="H109" s="376">
        <f>'1.2.sz.mell. '!C109+'1.3.sz.mell.'!C109+'1.4.sz.mell. '!C109+'1.5.sz.mell.'!C109</f>
        <v>0</v>
      </c>
      <c r="I109" s="378">
        <f t="shared" si="6"/>
        <v>0</v>
      </c>
    </row>
    <row r="110" spans="1:9" ht="12" customHeight="1" thickBot="1" x14ac:dyDescent="0.3">
      <c r="A110" s="11" t="s">
        <v>114</v>
      </c>
      <c r="B110" s="61" t="s">
        <v>298</v>
      </c>
      <c r="C110" s="422">
        <f t="shared" si="7"/>
        <v>0</v>
      </c>
      <c r="D110" s="268"/>
      <c r="E110" s="181"/>
      <c r="F110" s="181"/>
      <c r="H110" s="376">
        <f>'1.2.sz.mell. '!C110+'1.3.sz.mell.'!C110+'1.4.sz.mell. '!C110+'1.5.sz.mell.'!C110</f>
        <v>0</v>
      </c>
      <c r="I110" s="378">
        <f t="shared" si="6"/>
        <v>0</v>
      </c>
    </row>
    <row r="111" spans="1:9" ht="12" customHeight="1" thickBot="1" x14ac:dyDescent="0.3">
      <c r="A111" s="11" t="s">
        <v>115</v>
      </c>
      <c r="B111" s="61" t="s">
        <v>299</v>
      </c>
      <c r="C111" s="422">
        <f t="shared" si="7"/>
        <v>0</v>
      </c>
      <c r="D111" s="268"/>
      <c r="E111" s="181"/>
      <c r="F111" s="181"/>
      <c r="H111" s="376">
        <f>'1.2.sz.mell. '!C111+'1.3.sz.mell.'!C111+'1.4.sz.mell. '!C111+'1.5.sz.mell.'!C111</f>
        <v>0</v>
      </c>
      <c r="I111" s="378">
        <f t="shared" si="6"/>
        <v>0</v>
      </c>
    </row>
    <row r="112" spans="1:9" ht="12" customHeight="1" thickBot="1" x14ac:dyDescent="0.3">
      <c r="A112" s="11" t="s">
        <v>117</v>
      </c>
      <c r="B112" s="60" t="s">
        <v>300</v>
      </c>
      <c r="C112" s="422">
        <f t="shared" si="7"/>
        <v>636000</v>
      </c>
      <c r="D112" s="268">
        <v>636000</v>
      </c>
      <c r="E112" s="181"/>
      <c r="F112" s="181"/>
      <c r="H112" s="376">
        <f>'1.2.sz.mell. '!C112+'1.3.sz.mell.'!C112+'1.4.sz.mell. '!C112+'1.5.sz.mell.'!C112</f>
        <v>636000</v>
      </c>
      <c r="I112" s="378">
        <f t="shared" si="6"/>
        <v>0</v>
      </c>
    </row>
    <row r="113" spans="1:11" ht="12" customHeight="1" thickBot="1" x14ac:dyDescent="0.3">
      <c r="A113" s="11" t="s">
        <v>149</v>
      </c>
      <c r="B113" s="60" t="s">
        <v>301</v>
      </c>
      <c r="C113" s="422">
        <f t="shared" si="7"/>
        <v>0</v>
      </c>
      <c r="D113" s="268"/>
      <c r="E113" s="181"/>
      <c r="F113" s="181"/>
      <c r="H113" s="376">
        <f>'1.2.sz.mell. '!C113+'1.3.sz.mell.'!C113+'1.4.sz.mell. '!C113+'1.5.sz.mell.'!C113</f>
        <v>0</v>
      </c>
      <c r="I113" s="378">
        <f t="shared" si="6"/>
        <v>0</v>
      </c>
    </row>
    <row r="114" spans="1:11" ht="12" customHeight="1" thickBot="1" x14ac:dyDescent="0.3">
      <c r="A114" s="11" t="s">
        <v>295</v>
      </c>
      <c r="B114" s="61" t="s">
        <v>302</v>
      </c>
      <c r="C114" s="422">
        <f t="shared" si="7"/>
        <v>0</v>
      </c>
      <c r="D114" s="268"/>
      <c r="E114" s="181"/>
      <c r="F114" s="181"/>
      <c r="H114" s="376">
        <f>'1.2.sz.mell. '!C114+'1.3.sz.mell.'!C114+'1.4.sz.mell. '!C114+'1.5.sz.mell.'!C114</f>
        <v>0</v>
      </c>
      <c r="I114" s="378">
        <f t="shared" si="6"/>
        <v>0</v>
      </c>
    </row>
    <row r="115" spans="1:11" ht="12" customHeight="1" thickBot="1" x14ac:dyDescent="0.3">
      <c r="A115" s="10" t="s">
        <v>296</v>
      </c>
      <c r="B115" s="62" t="s">
        <v>303</v>
      </c>
      <c r="C115" s="422">
        <f t="shared" si="7"/>
        <v>0</v>
      </c>
      <c r="D115" s="268"/>
      <c r="E115" s="181"/>
      <c r="F115" s="181"/>
      <c r="H115" s="376">
        <f>'1.2.sz.mell. '!C115+'1.3.sz.mell.'!C115+'1.4.sz.mell. '!C115+'1.5.sz.mell.'!C115</f>
        <v>0</v>
      </c>
      <c r="I115" s="378">
        <f t="shared" si="6"/>
        <v>0</v>
      </c>
    </row>
    <row r="116" spans="1:11" ht="12" customHeight="1" thickBot="1" x14ac:dyDescent="0.3">
      <c r="A116" s="11" t="s">
        <v>451</v>
      </c>
      <c r="B116" s="62" t="s">
        <v>304</v>
      </c>
      <c r="C116" s="422">
        <f t="shared" si="7"/>
        <v>0</v>
      </c>
      <c r="D116" s="268"/>
      <c r="E116" s="181"/>
      <c r="F116" s="181"/>
      <c r="H116" s="376">
        <f>'1.2.sz.mell. '!C116+'1.3.sz.mell.'!C116+'1.4.sz.mell. '!C116+'1.5.sz.mell.'!C116</f>
        <v>0</v>
      </c>
      <c r="I116" s="378">
        <f t="shared" si="6"/>
        <v>0</v>
      </c>
    </row>
    <row r="117" spans="1:11" ht="12" customHeight="1" thickBot="1" x14ac:dyDescent="0.3">
      <c r="A117" s="13" t="s">
        <v>452</v>
      </c>
      <c r="B117" s="62" t="s">
        <v>305</v>
      </c>
      <c r="C117" s="422">
        <f t="shared" si="7"/>
        <v>173591867</v>
      </c>
      <c r="D117" s="265">
        <v>173591867</v>
      </c>
      <c r="E117" s="120"/>
      <c r="F117" s="181"/>
      <c r="H117" s="376">
        <f>'1.2.sz.mell. '!C117+'1.3.sz.mell.'!C117+'1.4.sz.mell. '!C117+'1.5.sz.mell.'!C117</f>
        <v>173591867</v>
      </c>
      <c r="I117" s="378">
        <f t="shared" si="6"/>
        <v>0</v>
      </c>
    </row>
    <row r="118" spans="1:11" ht="12" customHeight="1" thickBot="1" x14ac:dyDescent="0.3">
      <c r="A118" s="11" t="s">
        <v>453</v>
      </c>
      <c r="B118" s="5" t="s">
        <v>50</v>
      </c>
      <c r="C118" s="422">
        <f t="shared" si="7"/>
        <v>116379151</v>
      </c>
      <c r="D118" s="265">
        <f>SUM(D119:D120)</f>
        <v>116379151</v>
      </c>
      <c r="E118" s="265">
        <f>SUM(E119:E120)</f>
        <v>0</v>
      </c>
      <c r="F118" s="1030">
        <f>SUM(F119:F120)</f>
        <v>0</v>
      </c>
      <c r="H118" s="376">
        <f>'1.2.sz.mell. '!C118+'1.3.sz.mell.'!C118+'1.4.sz.mell. '!C118+'1.5.sz.mell.'!C118</f>
        <v>116379151</v>
      </c>
      <c r="I118" s="378">
        <f t="shared" si="6"/>
        <v>0</v>
      </c>
    </row>
    <row r="119" spans="1:11" ht="12" customHeight="1" thickBot="1" x14ac:dyDescent="0.3">
      <c r="A119" s="11" t="s">
        <v>454</v>
      </c>
      <c r="B119" s="5" t="s">
        <v>455</v>
      </c>
      <c r="C119" s="422">
        <f t="shared" si="7"/>
        <v>10000000</v>
      </c>
      <c r="D119" s="1031">
        <v>10000000</v>
      </c>
      <c r="E119" s="181"/>
      <c r="F119" s="1029"/>
      <c r="H119" s="376">
        <f>'1.2.sz.mell. '!C119+'1.3.sz.mell.'!C119+'1.4.sz.mell. '!C119+'1.5.sz.mell.'!C119</f>
        <v>10000000</v>
      </c>
      <c r="I119" s="378">
        <f t="shared" si="6"/>
        <v>0</v>
      </c>
    </row>
    <row r="120" spans="1:11" ht="12" customHeight="1" thickBot="1" x14ac:dyDescent="0.3">
      <c r="A120" s="15" t="s">
        <v>456</v>
      </c>
      <c r="B120" s="255" t="s">
        <v>457</v>
      </c>
      <c r="C120" s="422">
        <f t="shared" si="7"/>
        <v>106379151</v>
      </c>
      <c r="D120" s="295">
        <f>99315612+4715+7058824</f>
        <v>106379151</v>
      </c>
      <c r="E120" s="274"/>
      <c r="F120" s="274"/>
      <c r="H120" s="376">
        <f>'1.2.sz.mell. '!C120+'1.3.sz.mell.'!C120+'1.4.sz.mell. '!C120+'1.5.sz.mell.'!C120</f>
        <v>106379151</v>
      </c>
      <c r="I120" s="379">
        <f t="shared" si="6"/>
        <v>0</v>
      </c>
    </row>
    <row r="121" spans="1:11" ht="12" customHeight="1" thickBot="1" x14ac:dyDescent="0.3">
      <c r="A121" s="256" t="s">
        <v>20</v>
      </c>
      <c r="B121" s="424" t="s">
        <v>306</v>
      </c>
      <c r="C121" s="427">
        <f t="shared" si="5"/>
        <v>977615018</v>
      </c>
      <c r="D121" s="276">
        <f>+D122+D124+D126</f>
        <v>899252759</v>
      </c>
      <c r="E121" s="116">
        <f>+E122+E124+E126</f>
        <v>2765199</v>
      </c>
      <c r="F121" s="258">
        <f>+F122+F124+F126</f>
        <v>75597060</v>
      </c>
      <c r="H121" s="376">
        <f>'1.2.sz.mell. '!C121+'1.3.sz.mell.'!C121+'1.4.sz.mell. '!C121+'1.5.sz.mell.'!C121</f>
        <v>977615018</v>
      </c>
      <c r="I121" s="376">
        <f t="shared" si="6"/>
        <v>0</v>
      </c>
    </row>
    <row r="122" spans="1:11" ht="15" customHeight="1" thickBot="1" x14ac:dyDescent="0.3">
      <c r="A122" s="12" t="s">
        <v>103</v>
      </c>
      <c r="B122" s="5" t="s">
        <v>170</v>
      </c>
      <c r="C122" s="422">
        <f t="shared" si="5"/>
        <v>612539782</v>
      </c>
      <c r="D122" s="1032">
        <v>535995745</v>
      </c>
      <c r="E122" s="230">
        <v>2765199</v>
      </c>
      <c r="F122" s="230">
        <f>25000+58071807+800000+14882031</f>
        <v>73778838</v>
      </c>
      <c r="H122" s="376">
        <f>'1.2.sz.mell. '!C122+'1.3.sz.mell.'!C122+'1.4.sz.mell. '!C122+'1.5.sz.mell.'!C122</f>
        <v>612539782</v>
      </c>
      <c r="I122" s="377">
        <f t="shared" si="6"/>
        <v>0</v>
      </c>
      <c r="K122" s="1106"/>
    </row>
    <row r="123" spans="1:11" ht="12" customHeight="1" thickBot="1" x14ac:dyDescent="0.3">
      <c r="A123" s="12" t="s">
        <v>104</v>
      </c>
      <c r="B123" s="9" t="s">
        <v>310</v>
      </c>
      <c r="C123" s="422">
        <f t="shared" si="5"/>
        <v>401925076</v>
      </c>
      <c r="D123" s="1032">
        <v>401925076</v>
      </c>
      <c r="E123" s="230"/>
      <c r="F123" s="230"/>
      <c r="H123" s="376">
        <f>'1.2.sz.mell. '!C123+'1.3.sz.mell.'!C123+'1.4.sz.mell. '!C123+'1.5.sz.mell.'!C123</f>
        <v>401925076</v>
      </c>
      <c r="I123" s="378">
        <f t="shared" si="6"/>
        <v>0</v>
      </c>
    </row>
    <row r="124" spans="1:11" ht="12" customHeight="1" thickBot="1" x14ac:dyDescent="0.3">
      <c r="A124" s="12" t="s">
        <v>105</v>
      </c>
      <c r="B124" s="9" t="s">
        <v>150</v>
      </c>
      <c r="C124" s="422">
        <f t="shared" si="5"/>
        <v>359163430</v>
      </c>
      <c r="D124" s="1030">
        <v>357345208</v>
      </c>
      <c r="E124" s="120"/>
      <c r="F124" s="1029">
        <f>1500722+317500</f>
        <v>1818222</v>
      </c>
      <c r="H124" s="376">
        <f>'1.2.sz.mell. '!C124+'1.3.sz.mell.'!C124+'1.4.sz.mell. '!C124+'1.5.sz.mell.'!C124</f>
        <v>359163430</v>
      </c>
      <c r="I124" s="378">
        <f t="shared" si="6"/>
        <v>0</v>
      </c>
    </row>
    <row r="125" spans="1:11" ht="12" customHeight="1" thickBot="1" x14ac:dyDescent="0.3">
      <c r="A125" s="12" t="s">
        <v>106</v>
      </c>
      <c r="B125" s="9" t="s">
        <v>311</v>
      </c>
      <c r="C125" s="422">
        <f t="shared" si="5"/>
        <v>290689778</v>
      </c>
      <c r="D125" s="1030">
        <f>80032238+2424+210655116</f>
        <v>290689778</v>
      </c>
      <c r="E125" s="578"/>
      <c r="F125" s="1030"/>
      <c r="H125" s="376">
        <f>'1.2.sz.mell. '!C125+'1.3.sz.mell.'!C125+'1.4.sz.mell. '!C125+'1.5.sz.mell.'!C125</f>
        <v>290689778</v>
      </c>
      <c r="I125" s="378">
        <f t="shared" si="6"/>
        <v>0</v>
      </c>
    </row>
    <row r="126" spans="1:11" ht="12" customHeight="1" thickBot="1" x14ac:dyDescent="0.3">
      <c r="A126" s="12" t="s">
        <v>107</v>
      </c>
      <c r="B126" s="113" t="s">
        <v>172</v>
      </c>
      <c r="C126" s="422">
        <f t="shared" si="5"/>
        <v>5911806</v>
      </c>
      <c r="D126" s="265">
        <f>SUM(D127:D134)</f>
        <v>5911806</v>
      </c>
      <c r="E126" s="265">
        <f>SUM(E127:E134)</f>
        <v>0</v>
      </c>
      <c r="F126" s="1030">
        <f>SUM(F127:F134)</f>
        <v>0</v>
      </c>
      <c r="H126" s="376">
        <f>'1.2.sz.mell. '!C126+'1.3.sz.mell.'!C126+'1.4.sz.mell. '!C126+'1.5.sz.mell.'!C126</f>
        <v>5911806</v>
      </c>
      <c r="I126" s="378">
        <f t="shared" si="6"/>
        <v>0</v>
      </c>
    </row>
    <row r="127" spans="1:11" ht="12" customHeight="1" thickBot="1" x14ac:dyDescent="0.3">
      <c r="A127" s="12" t="s">
        <v>116</v>
      </c>
      <c r="B127" s="112" t="s">
        <v>373</v>
      </c>
      <c r="C127" s="422">
        <f t="shared" si="5"/>
        <v>0</v>
      </c>
      <c r="D127" s="105"/>
      <c r="E127" s="105"/>
      <c r="F127" s="1030"/>
      <c r="H127" s="376">
        <f>'1.2.sz.mell. '!C127+'1.3.sz.mell.'!C127+'1.4.sz.mell. '!C127+'1.5.sz.mell.'!C127</f>
        <v>0</v>
      </c>
      <c r="I127" s="378">
        <f t="shared" si="6"/>
        <v>0</v>
      </c>
    </row>
    <row r="128" spans="1:11" ht="12" customHeight="1" thickBot="1" x14ac:dyDescent="0.3">
      <c r="A128" s="12" t="s">
        <v>118</v>
      </c>
      <c r="B128" s="188" t="s">
        <v>316</v>
      </c>
      <c r="C128" s="422">
        <f t="shared" si="5"/>
        <v>0</v>
      </c>
      <c r="D128" s="105"/>
      <c r="E128" s="105"/>
      <c r="F128" s="1030"/>
      <c r="H128" s="376">
        <f>'1.2.sz.mell. '!C128+'1.3.sz.mell.'!C128+'1.4.sz.mell. '!C128+'1.5.sz.mell.'!C128</f>
        <v>0</v>
      </c>
      <c r="I128" s="378">
        <f t="shared" si="6"/>
        <v>0</v>
      </c>
    </row>
    <row r="129" spans="1:9" ht="16.5" thickBot="1" x14ac:dyDescent="0.3">
      <c r="A129" s="12" t="s">
        <v>151</v>
      </c>
      <c r="B129" s="61" t="s">
        <v>299</v>
      </c>
      <c r="C129" s="422">
        <f t="shared" si="5"/>
        <v>0</v>
      </c>
      <c r="D129" s="105"/>
      <c r="E129" s="105"/>
      <c r="F129" s="1030"/>
      <c r="H129" s="376">
        <f>'1.2.sz.mell. '!C129+'1.3.sz.mell.'!C129+'1.4.sz.mell. '!C129+'1.5.sz.mell.'!C129</f>
        <v>0</v>
      </c>
      <c r="I129" s="378">
        <f t="shared" si="6"/>
        <v>0</v>
      </c>
    </row>
    <row r="130" spans="1:9" ht="12" customHeight="1" thickBot="1" x14ac:dyDescent="0.3">
      <c r="A130" s="12" t="s">
        <v>152</v>
      </c>
      <c r="B130" s="61" t="s">
        <v>315</v>
      </c>
      <c r="C130" s="422">
        <f t="shared" si="5"/>
        <v>0</v>
      </c>
      <c r="D130" s="105"/>
      <c r="E130" s="105"/>
      <c r="F130" s="1030"/>
      <c r="H130" s="376">
        <f>'1.2.sz.mell. '!C130+'1.3.sz.mell.'!C130+'1.4.sz.mell. '!C130+'1.5.sz.mell.'!C130</f>
        <v>0</v>
      </c>
      <c r="I130" s="378">
        <f t="shared" si="6"/>
        <v>0</v>
      </c>
    </row>
    <row r="131" spans="1:9" ht="12" customHeight="1" thickBot="1" x14ac:dyDescent="0.3">
      <c r="A131" s="12" t="s">
        <v>153</v>
      </c>
      <c r="B131" s="61" t="s">
        <v>314</v>
      </c>
      <c r="C131" s="422">
        <f t="shared" si="5"/>
        <v>0</v>
      </c>
      <c r="D131" s="105"/>
      <c r="E131" s="105"/>
      <c r="F131" s="1030"/>
      <c r="H131" s="376">
        <f>'1.2.sz.mell. '!C131+'1.3.sz.mell.'!C131+'1.4.sz.mell. '!C131+'1.5.sz.mell.'!C131</f>
        <v>0</v>
      </c>
      <c r="I131" s="378">
        <f t="shared" si="6"/>
        <v>0</v>
      </c>
    </row>
    <row r="132" spans="1:9" ht="12" customHeight="1" thickBot="1" x14ac:dyDescent="0.3">
      <c r="A132" s="12" t="s">
        <v>307</v>
      </c>
      <c r="B132" s="61" t="s">
        <v>302</v>
      </c>
      <c r="C132" s="422">
        <f t="shared" si="5"/>
        <v>0</v>
      </c>
      <c r="D132" s="105"/>
      <c r="E132" s="105"/>
      <c r="F132" s="1030"/>
      <c r="H132" s="376">
        <f>'1.2.sz.mell. '!C132+'1.3.sz.mell.'!C132+'1.4.sz.mell. '!C132+'1.5.sz.mell.'!C132</f>
        <v>0</v>
      </c>
      <c r="I132" s="378">
        <f t="shared" si="6"/>
        <v>0</v>
      </c>
    </row>
    <row r="133" spans="1:9" ht="12" customHeight="1" thickBot="1" x14ac:dyDescent="0.3">
      <c r="A133" s="12" t="s">
        <v>308</v>
      </c>
      <c r="B133" s="61" t="s">
        <v>313</v>
      </c>
      <c r="C133" s="422">
        <f t="shared" si="5"/>
        <v>0</v>
      </c>
      <c r="D133" s="105"/>
      <c r="E133" s="105"/>
      <c r="F133" s="1030"/>
      <c r="H133" s="376">
        <f>'1.2.sz.mell. '!C133+'1.3.sz.mell.'!C133+'1.4.sz.mell. '!C133+'1.5.sz.mell.'!C133</f>
        <v>0</v>
      </c>
      <c r="I133" s="378">
        <f t="shared" si="6"/>
        <v>0</v>
      </c>
    </row>
    <row r="134" spans="1:9" ht="16.5" thickBot="1" x14ac:dyDescent="0.3">
      <c r="A134" s="10" t="s">
        <v>309</v>
      </c>
      <c r="B134" s="61" t="s">
        <v>312</v>
      </c>
      <c r="C134" s="422">
        <f t="shared" si="5"/>
        <v>5911806</v>
      </c>
      <c r="D134" s="268">
        <v>5911806</v>
      </c>
      <c r="E134" s="268"/>
      <c r="F134" s="1031"/>
      <c r="H134" s="376">
        <f>'1.2.sz.mell. '!C134+'1.3.sz.mell.'!C134+'1.4.sz.mell. '!C134+'1.5.sz.mell.'!C134</f>
        <v>5911806</v>
      </c>
      <c r="I134" s="379">
        <f t="shared" si="6"/>
        <v>0</v>
      </c>
    </row>
    <row r="135" spans="1:9" ht="12" customHeight="1" thickBot="1" x14ac:dyDescent="0.3">
      <c r="A135" s="17" t="s">
        <v>21</v>
      </c>
      <c r="B135" s="425" t="s">
        <v>458</v>
      </c>
      <c r="C135" s="427">
        <f t="shared" si="5"/>
        <v>3809048190</v>
      </c>
      <c r="D135" s="276">
        <f>+D100+D121</f>
        <v>1735944272</v>
      </c>
      <c r="E135" s="116">
        <f>+E100+E121</f>
        <v>239198789</v>
      </c>
      <c r="F135" s="116">
        <f>+F100+F121</f>
        <v>1833905129</v>
      </c>
      <c r="H135" s="376">
        <f>'1.2.sz.mell. '!C135+'1.3.sz.mell.'!C135+'1.4.sz.mell. '!C135+'1.5.sz.mell.'!C135</f>
        <v>3809048190</v>
      </c>
      <c r="I135" s="376">
        <f t="shared" si="6"/>
        <v>0</v>
      </c>
    </row>
    <row r="136" spans="1:9" ht="12" customHeight="1" thickBot="1" x14ac:dyDescent="0.3">
      <c r="A136" s="17" t="s">
        <v>22</v>
      </c>
      <c r="B136" s="425" t="s">
        <v>459</v>
      </c>
      <c r="C136" s="427">
        <f>SUM(D136:F136)</f>
        <v>874993747</v>
      </c>
      <c r="D136" s="276">
        <f>+D137+D138+D139</f>
        <v>874993747</v>
      </c>
      <c r="E136" s="116">
        <f>+E137+E138+E139</f>
        <v>0</v>
      </c>
      <c r="F136" s="116">
        <f>+F137+F138+F139</f>
        <v>0</v>
      </c>
      <c r="H136" s="376">
        <f>'1.2.sz.mell. '!C136+'1.3.sz.mell.'!C136+'1.4.sz.mell. '!C136+'1.5.sz.mell.'!C136</f>
        <v>874993747</v>
      </c>
      <c r="I136" s="376">
        <f t="shared" si="6"/>
        <v>0</v>
      </c>
    </row>
    <row r="137" spans="1:9" ht="12" customHeight="1" thickBot="1" x14ac:dyDescent="0.3">
      <c r="A137" s="12" t="s">
        <v>208</v>
      </c>
      <c r="B137" s="9" t="s">
        <v>460</v>
      </c>
      <c r="C137" s="422">
        <f>SUM(D137:F137)</f>
        <v>24993747</v>
      </c>
      <c r="D137" s="265">
        <v>24993747</v>
      </c>
      <c r="E137" s="265"/>
      <c r="F137" s="1030"/>
      <c r="H137" s="376">
        <f>'1.2.sz.mell. '!C137+'1.3.sz.mell.'!C137+'1.4.sz.mell. '!C137+'1.5.sz.mell.'!C137</f>
        <v>24993747</v>
      </c>
      <c r="I137" s="377">
        <f t="shared" si="6"/>
        <v>0</v>
      </c>
    </row>
    <row r="138" spans="1:9" ht="12" customHeight="1" thickBot="1" x14ac:dyDescent="0.3">
      <c r="A138" s="12" t="s">
        <v>211</v>
      </c>
      <c r="B138" s="9" t="s">
        <v>461</v>
      </c>
      <c r="C138" s="422">
        <f>SUM(D138:F138)</f>
        <v>850000000</v>
      </c>
      <c r="D138" s="105">
        <v>850000000</v>
      </c>
      <c r="E138" s="105"/>
      <c r="F138" s="105"/>
      <c r="H138" s="376">
        <f>'1.2.sz.mell. '!C138+'1.3.sz.mell.'!C138+'1.4.sz.mell. '!C138+'1.5.sz.mell.'!C138</f>
        <v>850000000</v>
      </c>
      <c r="I138" s="378">
        <f t="shared" si="6"/>
        <v>0</v>
      </c>
    </row>
    <row r="139" spans="1:9" ht="12" customHeight="1" thickBot="1" x14ac:dyDescent="0.3">
      <c r="A139" s="10" t="s">
        <v>212</v>
      </c>
      <c r="B139" s="9" t="s">
        <v>462</v>
      </c>
      <c r="C139" s="491">
        <f t="shared" si="5"/>
        <v>0</v>
      </c>
      <c r="D139" s="105"/>
      <c r="E139" s="105"/>
      <c r="F139" s="105"/>
      <c r="H139" s="376">
        <f>'1.2.sz.mell. '!C139+'1.3.sz.mell.'!C139+'1.4.sz.mell. '!C139+'1.5.sz.mell.'!C139</f>
        <v>0</v>
      </c>
      <c r="I139" s="379">
        <f t="shared" si="6"/>
        <v>0</v>
      </c>
    </row>
    <row r="140" spans="1:9" ht="12" customHeight="1" thickBot="1" x14ac:dyDescent="0.3">
      <c r="A140" s="17" t="s">
        <v>23</v>
      </c>
      <c r="B140" s="425" t="s">
        <v>463</v>
      </c>
      <c r="C140" s="427">
        <f t="shared" si="5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  <c r="H140" s="376">
        <f>'1.2.sz.mell. '!C140+'1.3.sz.mell.'!C140+'1.4.sz.mell. '!C140+'1.5.sz.mell.'!C140</f>
        <v>0</v>
      </c>
      <c r="I140" s="376">
        <f t="shared" si="6"/>
        <v>0</v>
      </c>
    </row>
    <row r="141" spans="1:9" ht="12" customHeight="1" thickBot="1" x14ac:dyDescent="0.3">
      <c r="A141" s="12" t="s">
        <v>90</v>
      </c>
      <c r="B141" s="6" t="s">
        <v>464</v>
      </c>
      <c r="C141" s="422">
        <f t="shared" si="5"/>
        <v>0</v>
      </c>
      <c r="D141" s="105"/>
      <c r="E141" s="105"/>
      <c r="F141" s="105"/>
      <c r="H141" s="376">
        <f>'1.2.sz.mell. '!C141+'1.3.sz.mell.'!C141+'1.4.sz.mell. '!C141+'1.5.sz.mell.'!C141</f>
        <v>0</v>
      </c>
      <c r="I141" s="377">
        <f t="shared" si="6"/>
        <v>0</v>
      </c>
    </row>
    <row r="142" spans="1:9" ht="12" customHeight="1" thickBot="1" x14ac:dyDescent="0.3">
      <c r="A142" s="12" t="s">
        <v>91</v>
      </c>
      <c r="B142" s="6" t="s">
        <v>465</v>
      </c>
      <c r="C142" s="422">
        <f t="shared" si="5"/>
        <v>0</v>
      </c>
      <c r="D142" s="105"/>
      <c r="E142" s="105"/>
      <c r="F142" s="105"/>
      <c r="H142" s="376">
        <f>'1.2.sz.mell. '!C142+'1.3.sz.mell.'!C142+'1.4.sz.mell. '!C142+'1.5.sz.mell.'!C142</f>
        <v>0</v>
      </c>
      <c r="I142" s="378">
        <f t="shared" si="6"/>
        <v>0</v>
      </c>
    </row>
    <row r="143" spans="1:9" ht="12" customHeight="1" thickBot="1" x14ac:dyDescent="0.3">
      <c r="A143" s="12" t="s">
        <v>92</v>
      </c>
      <c r="B143" s="6" t="s">
        <v>466</v>
      </c>
      <c r="C143" s="422">
        <f t="shared" si="5"/>
        <v>0</v>
      </c>
      <c r="D143" s="105"/>
      <c r="E143" s="105"/>
      <c r="F143" s="105"/>
      <c r="H143" s="376">
        <f>'1.2.sz.mell. '!C143+'1.3.sz.mell.'!C143+'1.4.sz.mell. '!C143+'1.5.sz.mell.'!C143</f>
        <v>0</v>
      </c>
      <c r="I143" s="378">
        <f t="shared" si="6"/>
        <v>0</v>
      </c>
    </row>
    <row r="144" spans="1:9" ht="12" customHeight="1" thickBot="1" x14ac:dyDescent="0.3">
      <c r="A144" s="12" t="s">
        <v>138</v>
      </c>
      <c r="B144" s="6" t="s">
        <v>467</v>
      </c>
      <c r="C144" s="422">
        <f t="shared" si="5"/>
        <v>0</v>
      </c>
      <c r="D144" s="105"/>
      <c r="E144" s="105"/>
      <c r="F144" s="105"/>
      <c r="H144" s="376">
        <f>'1.2.sz.mell. '!C144+'1.3.sz.mell.'!C144+'1.4.sz.mell. '!C144+'1.5.sz.mell.'!C144</f>
        <v>0</v>
      </c>
      <c r="I144" s="378">
        <f t="shared" si="6"/>
        <v>0</v>
      </c>
    </row>
    <row r="145" spans="1:9" ht="12" customHeight="1" thickBot="1" x14ac:dyDescent="0.3">
      <c r="A145" s="12" t="s">
        <v>139</v>
      </c>
      <c r="B145" s="6" t="s">
        <v>468</v>
      </c>
      <c r="C145" s="422">
        <f t="shared" si="5"/>
        <v>0</v>
      </c>
      <c r="D145" s="105"/>
      <c r="E145" s="105"/>
      <c r="F145" s="105"/>
      <c r="H145" s="376">
        <f>'1.2.sz.mell. '!C145+'1.3.sz.mell.'!C145+'1.4.sz.mell. '!C145+'1.5.sz.mell.'!C145</f>
        <v>0</v>
      </c>
      <c r="I145" s="378">
        <f t="shared" si="6"/>
        <v>0</v>
      </c>
    </row>
    <row r="146" spans="1:9" ht="12" customHeight="1" thickBot="1" x14ac:dyDescent="0.3">
      <c r="A146" s="10" t="s">
        <v>140</v>
      </c>
      <c r="B146" s="6" t="s">
        <v>469</v>
      </c>
      <c r="C146" s="491">
        <f t="shared" si="5"/>
        <v>0</v>
      </c>
      <c r="D146" s="105"/>
      <c r="E146" s="105"/>
      <c r="F146" s="105"/>
      <c r="H146" s="376">
        <f>'1.2.sz.mell. '!C146+'1.3.sz.mell.'!C146+'1.4.sz.mell. '!C146+'1.5.sz.mell.'!C146</f>
        <v>0</v>
      </c>
      <c r="I146" s="379">
        <f t="shared" si="6"/>
        <v>0</v>
      </c>
    </row>
    <row r="147" spans="1:9" ht="12" customHeight="1" thickBot="1" x14ac:dyDescent="0.3">
      <c r="A147" s="17" t="s">
        <v>24</v>
      </c>
      <c r="B147" s="425" t="s">
        <v>470</v>
      </c>
      <c r="C147" s="427">
        <f t="shared" si="5"/>
        <v>48966750</v>
      </c>
      <c r="D147" s="279">
        <f>+D148+D149+D150+D151</f>
        <v>48966750</v>
      </c>
      <c r="E147" s="121">
        <f>+E148+E149+E150+E151</f>
        <v>0</v>
      </c>
      <c r="F147" s="121">
        <f>+F148+F149+F150+F151</f>
        <v>0</v>
      </c>
      <c r="H147" s="376">
        <f>'1.2.sz.mell. '!C147+'1.3.sz.mell.'!C147+'1.4.sz.mell. '!C147+'1.5.sz.mell.'!C147</f>
        <v>48966750</v>
      </c>
      <c r="I147" s="376">
        <f t="shared" si="6"/>
        <v>0</v>
      </c>
    </row>
    <row r="148" spans="1:9" ht="12" customHeight="1" thickBot="1" x14ac:dyDescent="0.3">
      <c r="A148" s="12" t="s">
        <v>93</v>
      </c>
      <c r="B148" s="6" t="s">
        <v>317</v>
      </c>
      <c r="C148" s="423">
        <f t="shared" si="5"/>
        <v>0</v>
      </c>
      <c r="D148" s="105"/>
      <c r="E148" s="105"/>
      <c r="F148" s="105"/>
      <c r="H148" s="376">
        <f>'1.2.sz.mell. '!C148+'1.3.sz.mell.'!C148+'1.4.sz.mell. '!C148+'1.5.sz.mell.'!C148</f>
        <v>0</v>
      </c>
      <c r="I148" s="377">
        <f t="shared" si="6"/>
        <v>0</v>
      </c>
    </row>
    <row r="149" spans="1:9" ht="12" customHeight="1" thickBot="1" x14ac:dyDescent="0.3">
      <c r="A149" s="12" t="s">
        <v>94</v>
      </c>
      <c r="B149" s="6" t="s">
        <v>318</v>
      </c>
      <c r="C149" s="422">
        <f t="shared" si="5"/>
        <v>48966750</v>
      </c>
      <c r="D149" s="105">
        <v>48966750</v>
      </c>
      <c r="E149" s="105"/>
      <c r="F149" s="105"/>
      <c r="H149" s="376">
        <f>'1.2.sz.mell. '!C149+'1.3.sz.mell.'!C149+'1.4.sz.mell. '!C149+'1.5.sz.mell.'!C149</f>
        <v>48966750</v>
      </c>
      <c r="I149" s="378">
        <f t="shared" si="6"/>
        <v>0</v>
      </c>
    </row>
    <row r="150" spans="1:9" ht="12" customHeight="1" thickBot="1" x14ac:dyDescent="0.3">
      <c r="A150" s="12" t="s">
        <v>231</v>
      </c>
      <c r="B150" s="6" t="s">
        <v>471</v>
      </c>
      <c r="C150" s="423">
        <f t="shared" si="5"/>
        <v>0</v>
      </c>
      <c r="D150" s="105"/>
      <c r="E150" s="105"/>
      <c r="F150" s="105"/>
      <c r="H150" s="376">
        <f>'1.2.sz.mell. '!C150+'1.3.sz.mell.'!C150+'1.4.sz.mell. '!C150+'1.5.sz.mell.'!C150</f>
        <v>0</v>
      </c>
      <c r="I150" s="378">
        <f t="shared" si="6"/>
        <v>0</v>
      </c>
    </row>
    <row r="151" spans="1:9" ht="12" customHeight="1" thickBot="1" x14ac:dyDescent="0.3">
      <c r="A151" s="10" t="s">
        <v>232</v>
      </c>
      <c r="B151" s="4" t="s">
        <v>336</v>
      </c>
      <c r="C151" s="426">
        <f t="shared" si="5"/>
        <v>0</v>
      </c>
      <c r="D151" s="105"/>
      <c r="E151" s="105"/>
      <c r="F151" s="105"/>
      <c r="H151" s="376">
        <f>'1.2.sz.mell. '!C151+'1.3.sz.mell.'!C151+'1.4.sz.mell. '!C151+'1.5.sz.mell.'!C151</f>
        <v>0</v>
      </c>
      <c r="I151" s="379">
        <f t="shared" si="6"/>
        <v>0</v>
      </c>
    </row>
    <row r="152" spans="1:9" ht="12" customHeight="1" thickBot="1" x14ac:dyDescent="0.3">
      <c r="A152" s="17" t="s">
        <v>25</v>
      </c>
      <c r="B152" s="425" t="s">
        <v>472</v>
      </c>
      <c r="C152" s="427">
        <f t="shared" si="5"/>
        <v>0</v>
      </c>
      <c r="D152" s="286">
        <f>+D153+D154+D155+D156+D157</f>
        <v>0</v>
      </c>
      <c r="E152" s="124">
        <f>+E153+E154+E155+E156+E157</f>
        <v>0</v>
      </c>
      <c r="F152" s="1346">
        <f>SUM(F153:F157)</f>
        <v>0</v>
      </c>
      <c r="H152" s="376">
        <f>'1.2.sz.mell. '!C152+'1.3.sz.mell.'!C152+'1.4.sz.mell. '!C152+'1.5.sz.mell.'!C152</f>
        <v>0</v>
      </c>
      <c r="I152" s="376">
        <f t="shared" si="6"/>
        <v>0</v>
      </c>
    </row>
    <row r="153" spans="1:9" ht="12" customHeight="1" thickBot="1" x14ac:dyDescent="0.3">
      <c r="A153" s="12" t="s">
        <v>95</v>
      </c>
      <c r="B153" s="6" t="s">
        <v>473</v>
      </c>
      <c r="C153" s="423">
        <f t="shared" si="5"/>
        <v>0</v>
      </c>
      <c r="D153" s="105"/>
      <c r="E153" s="105"/>
      <c r="F153" s="105"/>
      <c r="H153" s="376">
        <f>'1.2.sz.mell. '!C153+'1.3.sz.mell.'!C153+'1.4.sz.mell. '!C153+'1.5.sz.mell.'!C153</f>
        <v>0</v>
      </c>
      <c r="I153" s="377">
        <f t="shared" si="6"/>
        <v>0</v>
      </c>
    </row>
    <row r="154" spans="1:9" ht="12" customHeight="1" thickBot="1" x14ac:dyDescent="0.3">
      <c r="A154" s="12" t="s">
        <v>96</v>
      </c>
      <c r="B154" s="6" t="s">
        <v>474</v>
      </c>
      <c r="C154" s="423">
        <f t="shared" si="5"/>
        <v>0</v>
      </c>
      <c r="D154" s="105"/>
      <c r="E154" s="105"/>
      <c r="F154" s="105"/>
      <c r="H154" s="376">
        <f>'1.2.sz.mell. '!C154+'1.3.sz.mell.'!C154+'1.4.sz.mell. '!C154+'1.5.sz.mell.'!C154</f>
        <v>0</v>
      </c>
      <c r="I154" s="378">
        <f t="shared" si="6"/>
        <v>0</v>
      </c>
    </row>
    <row r="155" spans="1:9" ht="12" customHeight="1" thickBot="1" x14ac:dyDescent="0.3">
      <c r="A155" s="12" t="s">
        <v>243</v>
      </c>
      <c r="B155" s="6" t="s">
        <v>475</v>
      </c>
      <c r="C155" s="423">
        <f t="shared" si="5"/>
        <v>0</v>
      </c>
      <c r="D155" s="105"/>
      <c r="E155" s="105"/>
      <c r="F155" s="105"/>
      <c r="H155" s="376">
        <f>'1.2.sz.mell. '!C155+'1.3.sz.mell.'!C155+'1.4.sz.mell. '!C155+'1.5.sz.mell.'!C155</f>
        <v>0</v>
      </c>
      <c r="I155" s="378">
        <f t="shared" si="6"/>
        <v>0</v>
      </c>
    </row>
    <row r="156" spans="1:9" ht="12" customHeight="1" thickBot="1" x14ac:dyDescent="0.3">
      <c r="A156" s="12" t="s">
        <v>244</v>
      </c>
      <c r="B156" s="6" t="s">
        <v>476</v>
      </c>
      <c r="C156" s="423">
        <f t="shared" si="5"/>
        <v>0</v>
      </c>
      <c r="D156" s="105"/>
      <c r="E156" s="105"/>
      <c r="F156" s="105"/>
      <c r="H156" s="376">
        <f>'1.2.sz.mell. '!C156+'1.3.sz.mell.'!C156+'1.4.sz.mell. '!C156+'1.5.sz.mell.'!C156</f>
        <v>0</v>
      </c>
      <c r="I156" s="378">
        <f t="shared" si="6"/>
        <v>0</v>
      </c>
    </row>
    <row r="157" spans="1:9" ht="12" customHeight="1" thickBot="1" x14ac:dyDescent="0.3">
      <c r="A157" s="12" t="s">
        <v>477</v>
      </c>
      <c r="B157" s="6" t="s">
        <v>478</v>
      </c>
      <c r="C157" s="426">
        <f t="shared" si="5"/>
        <v>0</v>
      </c>
      <c r="D157" s="106"/>
      <c r="E157" s="106"/>
      <c r="F157" s="105"/>
      <c r="H157" s="376">
        <f>'1.2.sz.mell. '!C157+'1.3.sz.mell.'!C157+'1.4.sz.mell. '!C157+'1.5.sz.mell.'!C157</f>
        <v>0</v>
      </c>
      <c r="I157" s="379">
        <f t="shared" si="6"/>
        <v>0</v>
      </c>
    </row>
    <row r="158" spans="1:9" ht="12" customHeight="1" thickBot="1" x14ac:dyDescent="0.3">
      <c r="A158" s="17" t="s">
        <v>26</v>
      </c>
      <c r="B158" s="425" t="s">
        <v>479</v>
      </c>
      <c r="C158" s="427">
        <f t="shared" si="5"/>
        <v>0</v>
      </c>
      <c r="D158" s="286"/>
      <c r="E158" s="124"/>
      <c r="F158" s="1347"/>
      <c r="H158" s="376">
        <f>'1.2.sz.mell. '!C158+'1.3.sz.mell.'!C158+'1.4.sz.mell. '!C158+'1.5.sz.mell.'!C158</f>
        <v>0</v>
      </c>
      <c r="I158" s="376">
        <f t="shared" si="6"/>
        <v>0</v>
      </c>
    </row>
    <row r="159" spans="1:9" ht="12" customHeight="1" thickBot="1" x14ac:dyDescent="0.3">
      <c r="A159" s="17" t="s">
        <v>27</v>
      </c>
      <c r="B159" s="425" t="s">
        <v>480</v>
      </c>
      <c r="C159" s="427">
        <f t="shared" si="5"/>
        <v>0</v>
      </c>
      <c r="D159" s="286"/>
      <c r="E159" s="124"/>
      <c r="F159" s="1347"/>
      <c r="H159" s="376">
        <f>'1.2.sz.mell. '!C159+'1.3.sz.mell.'!C159+'1.4.sz.mell. '!C159+'1.5.sz.mell.'!C159</f>
        <v>0</v>
      </c>
      <c r="I159" s="376">
        <f t="shared" si="6"/>
        <v>0</v>
      </c>
    </row>
    <row r="160" spans="1:9" ht="15" customHeight="1" thickBot="1" x14ac:dyDescent="0.3">
      <c r="A160" s="17" t="s">
        <v>28</v>
      </c>
      <c r="B160" s="425" t="s">
        <v>481</v>
      </c>
      <c r="C160" s="427">
        <f t="shared" si="5"/>
        <v>923960497</v>
      </c>
      <c r="D160" s="287">
        <f>+D136+D140+D147+D152+D158+D159</f>
        <v>923960497</v>
      </c>
      <c r="E160" s="202">
        <f>+E136+E140+E147+E152+E158+E159</f>
        <v>0</v>
      </c>
      <c r="F160" s="1348">
        <f>+F136+F140+F147+F152+F158+F159</f>
        <v>0</v>
      </c>
      <c r="G160" s="203"/>
      <c r="H160" s="376">
        <f>'1.2.sz.mell. '!C160+'1.3.sz.mell.'!C160+'1.4.sz.mell. '!C160+'1.5.sz.mell.'!C160</f>
        <v>923960497</v>
      </c>
      <c r="I160" s="376">
        <f t="shared" si="6"/>
        <v>0</v>
      </c>
    </row>
    <row r="161" spans="1:9" s="191" customFormat="1" ht="12.95" customHeight="1" thickBot="1" x14ac:dyDescent="0.25">
      <c r="A161" s="114" t="s">
        <v>29</v>
      </c>
      <c r="B161" s="428" t="s">
        <v>482</v>
      </c>
      <c r="C161" s="427">
        <f t="shared" si="5"/>
        <v>4733008687</v>
      </c>
      <c r="D161" s="287">
        <f>+D135+D160</f>
        <v>2659904769</v>
      </c>
      <c r="E161" s="202">
        <f>+E135+E160</f>
        <v>239198789</v>
      </c>
      <c r="F161" s="1348">
        <f>+F135+F160</f>
        <v>1833905129</v>
      </c>
      <c r="H161" s="376">
        <f>'1.2.sz.mell. '!C161+'1.3.sz.mell.'!C161+'1.4.sz.mell. '!C161+'1.5.sz.mell.'!C161</f>
        <v>4733008687</v>
      </c>
      <c r="I161" s="376">
        <f t="shared" si="6"/>
        <v>0</v>
      </c>
    </row>
    <row r="162" spans="1:9" ht="7.5" customHeight="1" x14ac:dyDescent="0.25"/>
    <row r="163" spans="1:9" x14ac:dyDescent="0.25">
      <c r="A163" s="1420" t="s">
        <v>319</v>
      </c>
      <c r="B163" s="1420"/>
      <c r="C163" s="1420"/>
    </row>
    <row r="164" spans="1:9" ht="15" customHeight="1" thickBot="1" x14ac:dyDescent="0.3">
      <c r="A164" s="1422" t="s">
        <v>128</v>
      </c>
      <c r="B164" s="1422"/>
      <c r="C164" s="1222" t="s">
        <v>539</v>
      </c>
    </row>
    <row r="165" spans="1:9" ht="13.5" customHeight="1" thickBot="1" x14ac:dyDescent="0.3">
      <c r="A165" s="17">
        <v>1</v>
      </c>
      <c r="B165" s="22" t="s">
        <v>483</v>
      </c>
      <c r="C165" s="121">
        <f>+C69-C135</f>
        <v>-850051421</v>
      </c>
      <c r="D165" s="649"/>
    </row>
    <row r="166" spans="1:9" ht="15" customHeight="1" thickBot="1" x14ac:dyDescent="0.3">
      <c r="A166" s="17" t="s">
        <v>20</v>
      </c>
      <c r="B166" s="22" t="s">
        <v>816</v>
      </c>
      <c r="C166" s="121">
        <f>+C93-C160</f>
        <v>850051421</v>
      </c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5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topLeftCell="A19" zoomScaleSheetLayoutView="85" workbookViewId="0">
      <selection activeCell="D31" sqref="D31"/>
    </sheetView>
  </sheetViews>
  <sheetFormatPr defaultColWidth="9.33203125" defaultRowHeight="12.75" x14ac:dyDescent="0.2"/>
  <cols>
    <col min="1" max="1" width="38.6640625" style="982" customWidth="1"/>
    <col min="2" max="5" width="13.83203125" style="982" customWidth="1"/>
    <col min="6" max="16384" width="9.33203125" style="982"/>
  </cols>
  <sheetData>
    <row r="1" spans="1:6" x14ac:dyDescent="0.2">
      <c r="A1" s="1460" t="str">
        <f>CONCATENATE("8.5. melléklet ",ALAPADATOK!A7," ",ALAPADATOK!B7," ",ALAPADATOK!C7," ",ALAPADATOK!D7," ",ALAPADATOK!E7," ",ALAPADATOK!F7," ",ALAPADATOK!G7," ",ALAPADATOK!H7)</f>
        <v>8.5. melléklet a 2 / 2021. ( II.15. ) önkormányzati rendelethez</v>
      </c>
      <c r="B1" s="1460"/>
      <c r="C1" s="1460"/>
      <c r="D1" s="1460"/>
      <c r="E1" s="1460"/>
    </row>
    <row r="2" spans="1:6" x14ac:dyDescent="0.2">
      <c r="A2" s="981"/>
      <c r="B2" s="981"/>
      <c r="C2" s="981"/>
      <c r="D2" s="981"/>
      <c r="E2" s="981"/>
    </row>
    <row r="3" spans="1:6" ht="74.25" customHeight="1" x14ac:dyDescent="0.25">
      <c r="A3" s="1458" t="s">
        <v>844</v>
      </c>
      <c r="B3" s="1458"/>
      <c r="C3" s="1458"/>
      <c r="D3" s="1458"/>
      <c r="E3" s="1458"/>
      <c r="F3" s="983"/>
    </row>
    <row r="4" spans="1:6" ht="14.25" thickBot="1" x14ac:dyDescent="0.3">
      <c r="A4" s="871"/>
      <c r="B4" s="871"/>
      <c r="C4" s="871"/>
      <c r="D4" s="1459" t="s">
        <v>548</v>
      </c>
      <c r="E4" s="1459"/>
      <c r="F4" s="983"/>
    </row>
    <row r="5" spans="1:6" ht="15" customHeight="1" thickBot="1" x14ac:dyDescent="0.25">
      <c r="A5" s="916" t="s">
        <v>579</v>
      </c>
      <c r="B5" s="917" t="s">
        <v>861</v>
      </c>
      <c r="C5" s="917" t="s">
        <v>852</v>
      </c>
      <c r="D5" s="917" t="s">
        <v>862</v>
      </c>
      <c r="E5" s="918" t="s">
        <v>51</v>
      </c>
      <c r="F5" s="983"/>
    </row>
    <row r="6" spans="1:6" x14ac:dyDescent="0.2">
      <c r="A6" s="872" t="s">
        <v>580</v>
      </c>
      <c r="B6" s="887"/>
      <c r="C6" s="887"/>
      <c r="D6" s="887"/>
      <c r="E6" s="874">
        <f>SUM(B6:D6)</f>
        <v>0</v>
      </c>
      <c r="F6" s="983"/>
    </row>
    <row r="7" spans="1:6" x14ac:dyDescent="0.2">
      <c r="A7" s="875" t="s">
        <v>581</v>
      </c>
      <c r="B7" s="890"/>
      <c r="C7" s="890"/>
      <c r="D7" s="890"/>
      <c r="E7" s="877">
        <f t="shared" ref="E7:E12" si="0">SUM(B7:D7)</f>
        <v>0</v>
      </c>
      <c r="F7" s="983"/>
    </row>
    <row r="8" spans="1:6" x14ac:dyDescent="0.2">
      <c r="A8" s="878" t="s">
        <v>582</v>
      </c>
      <c r="B8" s="893">
        <f>2763895+202109846</f>
        <v>204873741</v>
      </c>
      <c r="C8" s="893"/>
      <c r="D8" s="893"/>
      <c r="E8" s="929">
        <f t="shared" si="0"/>
        <v>204873741</v>
      </c>
      <c r="F8" s="983"/>
    </row>
    <row r="9" spans="1:6" x14ac:dyDescent="0.2">
      <c r="A9" s="878" t="s">
        <v>583</v>
      </c>
      <c r="B9" s="893">
        <f>341605+24979870</f>
        <v>25321475</v>
      </c>
      <c r="C9" s="893"/>
      <c r="D9" s="893"/>
      <c r="E9" s="929">
        <f t="shared" si="0"/>
        <v>25321475</v>
      </c>
      <c r="F9" s="983"/>
    </row>
    <row r="10" spans="1:6" x14ac:dyDescent="0.2">
      <c r="A10" s="878" t="s">
        <v>121</v>
      </c>
      <c r="B10" s="893"/>
      <c r="C10" s="893"/>
      <c r="D10" s="893"/>
      <c r="E10" s="929">
        <f t="shared" si="0"/>
        <v>0</v>
      </c>
      <c r="F10" s="983"/>
    </row>
    <row r="11" spans="1:6" x14ac:dyDescent="0.2">
      <c r="A11" s="878" t="s">
        <v>584</v>
      </c>
      <c r="B11" s="893"/>
      <c r="C11" s="893"/>
      <c r="D11" s="893"/>
      <c r="E11" s="929">
        <f t="shared" si="0"/>
        <v>0</v>
      </c>
      <c r="F11" s="983"/>
    </row>
    <row r="12" spans="1:6" ht="13.5" thickBot="1" x14ac:dyDescent="0.25">
      <c r="A12" s="879"/>
      <c r="B12" s="896"/>
      <c r="C12" s="896"/>
      <c r="D12" s="896"/>
      <c r="E12" s="929">
        <f t="shared" si="0"/>
        <v>0</v>
      </c>
      <c r="F12" s="983"/>
    </row>
    <row r="13" spans="1:6" ht="13.5" thickBot="1" x14ac:dyDescent="0.25">
      <c r="A13" s="919" t="s">
        <v>585</v>
      </c>
      <c r="B13" s="920">
        <f>SUM(B6:B12)</f>
        <v>230195216</v>
      </c>
      <c r="C13" s="920">
        <f>SUM(C6:C12)</f>
        <v>0</v>
      </c>
      <c r="D13" s="920">
        <f>SUM(D6:D12)</f>
        <v>0</v>
      </c>
      <c r="E13" s="921">
        <f>SUM(E6:E12)</f>
        <v>230195216</v>
      </c>
      <c r="F13" s="983"/>
    </row>
    <row r="14" spans="1:6" ht="13.5" thickBot="1" x14ac:dyDescent="0.25">
      <c r="A14" s="880"/>
      <c r="B14" s="880"/>
      <c r="C14" s="880"/>
      <c r="D14" s="880"/>
      <c r="E14" s="880"/>
      <c r="F14" s="983"/>
    </row>
    <row r="15" spans="1:6" ht="15" customHeight="1" thickBot="1" x14ac:dyDescent="0.25">
      <c r="A15" s="916" t="s">
        <v>586</v>
      </c>
      <c r="B15" s="917" t="str">
        <f>B5</f>
        <v>2021. előtt</v>
      </c>
      <c r="C15" s="917" t="str">
        <f t="shared" ref="C15:E15" si="1">C5</f>
        <v>2021.</v>
      </c>
      <c r="D15" s="917" t="str">
        <f t="shared" si="1"/>
        <v>2021. után</v>
      </c>
      <c r="E15" s="917" t="str">
        <f t="shared" si="1"/>
        <v>Összesen</v>
      </c>
      <c r="F15" s="983"/>
    </row>
    <row r="16" spans="1:6" x14ac:dyDescent="0.2">
      <c r="A16" s="872" t="s">
        <v>587</v>
      </c>
      <c r="B16" s="887"/>
      <c r="C16" s="887"/>
      <c r="D16" s="887"/>
      <c r="E16" s="874">
        <f>SUM(B16:D16)</f>
        <v>0</v>
      </c>
      <c r="F16" s="983"/>
    </row>
    <row r="17" spans="1:6" x14ac:dyDescent="0.2">
      <c r="A17" s="881" t="s">
        <v>588</v>
      </c>
      <c r="B17" s="893">
        <f>444500+6286500</f>
        <v>6731000</v>
      </c>
      <c r="C17" s="893">
        <f>7990000+2157300+166004320+44650796</f>
        <v>220802416</v>
      </c>
      <c r="D17" s="893"/>
      <c r="E17" s="929">
        <f t="shared" ref="E17:E22" si="2">SUM(B17:D17)</f>
        <v>227533416</v>
      </c>
      <c r="F17" s="983"/>
    </row>
    <row r="18" spans="1:6" x14ac:dyDescent="0.2">
      <c r="A18" s="878" t="s">
        <v>589</v>
      </c>
      <c r="B18" s="893"/>
      <c r="C18" s="893">
        <f>2286000+375000+800</f>
        <v>2661800</v>
      </c>
      <c r="D18" s="893"/>
      <c r="E18" s="929">
        <f t="shared" si="2"/>
        <v>2661800</v>
      </c>
      <c r="F18" s="983"/>
    </row>
    <row r="19" spans="1:6" x14ac:dyDescent="0.2">
      <c r="A19" s="878" t="s">
        <v>590</v>
      </c>
      <c r="B19" s="893"/>
      <c r="C19" s="893"/>
      <c r="D19" s="893"/>
      <c r="E19" s="929">
        <f t="shared" si="2"/>
        <v>0</v>
      </c>
      <c r="F19" s="983"/>
    </row>
    <row r="20" spans="1:6" x14ac:dyDescent="0.2">
      <c r="A20" s="882" t="s">
        <v>591</v>
      </c>
      <c r="B20" s="893"/>
      <c r="C20" s="893"/>
      <c r="D20" s="893"/>
      <c r="E20" s="929">
        <f t="shared" si="2"/>
        <v>0</v>
      </c>
      <c r="F20" s="983"/>
    </row>
    <row r="21" spans="1:6" x14ac:dyDescent="0.2">
      <c r="A21" s="882" t="s">
        <v>592</v>
      </c>
      <c r="B21" s="893"/>
      <c r="C21" s="893"/>
      <c r="D21" s="893"/>
      <c r="E21" s="929">
        <f t="shared" si="2"/>
        <v>0</v>
      </c>
      <c r="F21" s="983"/>
    </row>
    <row r="22" spans="1:6" ht="13.5" thickBot="1" x14ac:dyDescent="0.25">
      <c r="A22" s="879"/>
      <c r="B22" s="896"/>
      <c r="C22" s="896"/>
      <c r="D22" s="896"/>
      <c r="E22" s="929">
        <f t="shared" si="2"/>
        <v>0</v>
      </c>
      <c r="F22" s="983"/>
    </row>
    <row r="23" spans="1:6" ht="13.5" thickBot="1" x14ac:dyDescent="0.25">
      <c r="A23" s="919" t="s">
        <v>52</v>
      </c>
      <c r="B23" s="920">
        <f>SUM(B16:B22)</f>
        <v>6731000</v>
      </c>
      <c r="C23" s="920">
        <f>SUM(C16:C22)</f>
        <v>223464216</v>
      </c>
      <c r="D23" s="920">
        <f>SUM(D16:D22)</f>
        <v>0</v>
      </c>
      <c r="E23" s="921">
        <f>SUM(E16:E22)</f>
        <v>230195216</v>
      </c>
      <c r="F23" s="983"/>
    </row>
    <row r="24" spans="1:6" x14ac:dyDescent="0.2">
      <c r="A24" s="981"/>
      <c r="B24" s="981"/>
      <c r="C24" s="981"/>
      <c r="D24" s="981"/>
      <c r="E24" s="981"/>
    </row>
    <row r="25" spans="1:6" ht="48.75" customHeight="1" x14ac:dyDescent="0.25">
      <c r="A25" s="1464" t="s">
        <v>1019</v>
      </c>
      <c r="B25" s="1464"/>
      <c r="C25" s="1464"/>
      <c r="D25" s="1464"/>
      <c r="E25" s="1464"/>
    </row>
    <row r="26" spans="1:6" ht="14.25" thickBot="1" x14ac:dyDescent="0.3">
      <c r="A26" s="871"/>
      <c r="B26" s="871"/>
      <c r="C26" s="871"/>
      <c r="D26" s="1461" t="s">
        <v>548</v>
      </c>
      <c r="E26" s="1461"/>
    </row>
    <row r="27" spans="1:6" ht="13.5" thickBot="1" x14ac:dyDescent="0.25">
      <c r="A27" s="916" t="s">
        <v>579</v>
      </c>
      <c r="B27" s="917" t="s">
        <v>861</v>
      </c>
      <c r="C27" s="917" t="s">
        <v>852</v>
      </c>
      <c r="D27" s="917" t="s">
        <v>862</v>
      </c>
      <c r="E27" s="918" t="s">
        <v>51</v>
      </c>
    </row>
    <row r="28" spans="1:6" x14ac:dyDescent="0.2">
      <c r="A28" s="872" t="s">
        <v>580</v>
      </c>
      <c r="B28" s="989"/>
      <c r="C28" s="1000">
        <v>388900</v>
      </c>
      <c r="D28" s="989"/>
      <c r="E28" s="874">
        <f>SUM(B28:D28)</f>
        <v>388900</v>
      </c>
    </row>
    <row r="29" spans="1:6" x14ac:dyDescent="0.2">
      <c r="A29" s="875" t="s">
        <v>581</v>
      </c>
      <c r="B29" s="991"/>
      <c r="C29" s="991"/>
      <c r="D29" s="991"/>
      <c r="E29" s="929">
        <f t="shared" ref="E29:E34" si="3">SUM(B29:D29)</f>
        <v>0</v>
      </c>
    </row>
    <row r="30" spans="1:6" x14ac:dyDescent="0.2">
      <c r="A30" s="878" t="s">
        <v>582</v>
      </c>
      <c r="B30" s="993"/>
      <c r="C30" s="994">
        <v>3500100</v>
      </c>
      <c r="D30" s="993"/>
      <c r="E30" s="929">
        <f t="shared" si="3"/>
        <v>3500100</v>
      </c>
    </row>
    <row r="31" spans="1:6" x14ac:dyDescent="0.2">
      <c r="A31" s="878" t="s">
        <v>583</v>
      </c>
      <c r="B31" s="993"/>
      <c r="C31" s="993"/>
      <c r="D31" s="993"/>
      <c r="E31" s="929">
        <f t="shared" si="3"/>
        <v>0</v>
      </c>
    </row>
    <row r="32" spans="1:6" x14ac:dyDescent="0.2">
      <c r="A32" s="878" t="s">
        <v>121</v>
      </c>
      <c r="B32" s="993"/>
      <c r="C32" s="993"/>
      <c r="D32" s="993"/>
      <c r="E32" s="929">
        <f t="shared" si="3"/>
        <v>0</v>
      </c>
    </row>
    <row r="33" spans="1:5" x14ac:dyDescent="0.2">
      <c r="A33" s="878" t="s">
        <v>584</v>
      </c>
      <c r="B33" s="993"/>
      <c r="C33" s="993"/>
      <c r="D33" s="993"/>
      <c r="E33" s="929">
        <f t="shared" si="3"/>
        <v>0</v>
      </c>
    </row>
    <row r="34" spans="1:5" ht="13.5" thickBot="1" x14ac:dyDescent="0.25">
      <c r="A34" s="879"/>
      <c r="B34" s="997"/>
      <c r="C34" s="997"/>
      <c r="D34" s="997"/>
      <c r="E34" s="1401">
        <f t="shared" si="3"/>
        <v>0</v>
      </c>
    </row>
    <row r="35" spans="1:5" ht="13.5" thickBot="1" x14ac:dyDescent="0.25">
      <c r="A35" s="919" t="s">
        <v>585</v>
      </c>
      <c r="B35" s="920">
        <f>SUM(B28:B34)</f>
        <v>0</v>
      </c>
      <c r="C35" s="920">
        <f>SUM(C28:C34)</f>
        <v>3889000</v>
      </c>
      <c r="D35" s="920">
        <f>SUM(D28:D34)</f>
        <v>0</v>
      </c>
      <c r="E35" s="921">
        <f>SUM(E28:E34)</f>
        <v>3889000</v>
      </c>
    </row>
    <row r="36" spans="1:5" ht="13.5" thickBot="1" x14ac:dyDescent="0.25">
      <c r="A36" s="880"/>
      <c r="B36" s="880"/>
      <c r="C36" s="880"/>
      <c r="D36" s="880"/>
      <c r="E36" s="880"/>
    </row>
    <row r="37" spans="1:5" ht="13.5" thickBot="1" x14ac:dyDescent="0.25">
      <c r="A37" s="916" t="s">
        <v>586</v>
      </c>
      <c r="B37" s="917" t="s">
        <v>861</v>
      </c>
      <c r="C37" s="917" t="s">
        <v>852</v>
      </c>
      <c r="D37" s="917" t="s">
        <v>862</v>
      </c>
      <c r="E37" s="918" t="s">
        <v>51</v>
      </c>
    </row>
    <row r="38" spans="1:5" x14ac:dyDescent="0.2">
      <c r="A38" s="872" t="s">
        <v>587</v>
      </c>
      <c r="B38" s="989"/>
      <c r="C38" s="1000">
        <v>196850</v>
      </c>
      <c r="D38" s="989"/>
      <c r="E38" s="874">
        <f>SUM(B38:D38)</f>
        <v>196850</v>
      </c>
    </row>
    <row r="39" spans="1:5" x14ac:dyDescent="0.2">
      <c r="A39" s="881" t="s">
        <v>588</v>
      </c>
      <c r="B39" s="993"/>
      <c r="C39" s="994">
        <v>1631608</v>
      </c>
      <c r="D39" s="993"/>
      <c r="E39" s="929">
        <f>SUM(B39:D39)</f>
        <v>1631608</v>
      </c>
    </row>
    <row r="40" spans="1:5" x14ac:dyDescent="0.2">
      <c r="A40" s="878" t="s">
        <v>589</v>
      </c>
      <c r="B40" s="993"/>
      <c r="C40" s="994">
        <v>2060542</v>
      </c>
      <c r="D40" s="993"/>
      <c r="E40" s="929">
        <f>SUM(B40:D40)</f>
        <v>2060542</v>
      </c>
    </row>
    <row r="41" spans="1:5" x14ac:dyDescent="0.2">
      <c r="A41" s="878" t="s">
        <v>590</v>
      </c>
      <c r="B41" s="993"/>
      <c r="C41" s="993"/>
      <c r="D41" s="993"/>
      <c r="E41" s="929">
        <f>SUM(B41:D41)</f>
        <v>0</v>
      </c>
    </row>
    <row r="42" spans="1:5" x14ac:dyDescent="0.2">
      <c r="A42" s="882" t="s">
        <v>591</v>
      </c>
      <c r="B42" s="993"/>
      <c r="C42" s="993"/>
      <c r="D42" s="993"/>
      <c r="E42" s="1401">
        <f>SUM(B42:D42)</f>
        <v>0</v>
      </c>
    </row>
    <row r="43" spans="1:5" x14ac:dyDescent="0.2">
      <c r="A43" s="882" t="s">
        <v>592</v>
      </c>
      <c r="B43" s="993"/>
      <c r="C43" s="993"/>
      <c r="D43" s="993"/>
      <c r="E43" s="995">
        <v>0</v>
      </c>
    </row>
    <row r="44" spans="1:5" ht="13.5" thickBot="1" x14ac:dyDescent="0.25">
      <c r="A44" s="879"/>
      <c r="B44" s="997"/>
      <c r="C44" s="997"/>
      <c r="D44" s="997"/>
      <c r="E44" s="995">
        <v>0</v>
      </c>
    </row>
    <row r="45" spans="1:5" ht="13.5" thickBot="1" x14ac:dyDescent="0.25">
      <c r="A45" s="919" t="s">
        <v>52</v>
      </c>
      <c r="B45" s="920">
        <f>SUM(B38:B44)</f>
        <v>0</v>
      </c>
      <c r="C45" s="920">
        <f>SUM(C38:C44)</f>
        <v>3889000</v>
      </c>
      <c r="D45" s="920">
        <f>SUM(D38:D44)</f>
        <v>0</v>
      </c>
      <c r="E45" s="921">
        <f>SUM(E38:E44)</f>
        <v>3889000</v>
      </c>
    </row>
    <row r="46" spans="1:5" x14ac:dyDescent="0.2">
      <c r="A46" s="981"/>
      <c r="B46" s="981"/>
      <c r="C46" s="981"/>
      <c r="D46" s="981"/>
      <c r="E46" s="981"/>
    </row>
  </sheetData>
  <mergeCells count="5">
    <mergeCell ref="A1:E1"/>
    <mergeCell ref="A3:E3"/>
    <mergeCell ref="D4:E4"/>
    <mergeCell ref="A25:E25"/>
    <mergeCell ref="D26:E26"/>
  </mergeCells>
  <conditionalFormatting sqref="E6:E13 B23:E23 E16:E22 B13:D13">
    <cfRule type="cellIs" dxfId="28" priority="10" stopIfTrue="1" operator="equal">
      <formula>0</formula>
    </cfRule>
  </conditionalFormatting>
  <conditionalFormatting sqref="E28:E34">
    <cfRule type="cellIs" dxfId="27" priority="9" stopIfTrue="1" operator="equal">
      <formula>0</formula>
    </cfRule>
  </conditionalFormatting>
  <conditionalFormatting sqref="B35:E35">
    <cfRule type="cellIs" dxfId="26" priority="8" stopIfTrue="1" operator="equal">
      <formula>0</formula>
    </cfRule>
  </conditionalFormatting>
  <conditionalFormatting sqref="E43:E44">
    <cfRule type="cellIs" dxfId="25" priority="7" stopIfTrue="1" operator="equal">
      <formula>0</formula>
    </cfRule>
  </conditionalFormatting>
  <conditionalFormatting sqref="B45:E45">
    <cfRule type="cellIs" dxfId="24" priority="6" stopIfTrue="1" operator="equal">
      <formula>0</formula>
    </cfRule>
  </conditionalFormatting>
  <conditionalFormatting sqref="E38">
    <cfRule type="cellIs" dxfId="23" priority="5" stopIfTrue="1" operator="equal">
      <formula>0</formula>
    </cfRule>
  </conditionalFormatting>
  <conditionalFormatting sqref="E39">
    <cfRule type="cellIs" dxfId="22" priority="4" stopIfTrue="1" operator="equal">
      <formula>0</formula>
    </cfRule>
  </conditionalFormatting>
  <conditionalFormatting sqref="E40">
    <cfRule type="cellIs" dxfId="21" priority="3" stopIfTrue="1" operator="equal">
      <formula>0</formula>
    </cfRule>
  </conditionalFormatting>
  <conditionalFormatting sqref="E41">
    <cfRule type="cellIs" dxfId="20" priority="2" stopIfTrue="1" operator="equal">
      <formula>0</formula>
    </cfRule>
  </conditionalFormatting>
  <conditionalFormatting sqref="E42">
    <cfRule type="cellIs" dxfId="1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topLeftCell="A7" zoomScaleSheetLayoutView="85" workbookViewId="0">
      <selection activeCell="B20" sqref="B20"/>
    </sheetView>
  </sheetViews>
  <sheetFormatPr defaultColWidth="9.33203125" defaultRowHeight="12.75" x14ac:dyDescent="0.2"/>
  <cols>
    <col min="1" max="1" width="38.6640625" style="982" customWidth="1"/>
    <col min="2" max="5" width="13.83203125" style="982" customWidth="1"/>
    <col min="6" max="16384" width="9.33203125" style="982"/>
  </cols>
  <sheetData>
    <row r="1" spans="1:6" x14ac:dyDescent="0.2">
      <c r="A1" s="1460" t="str">
        <f>CONCATENATE("8.6. melléklet ",ALAPADATOK!A7," ",ALAPADATOK!B7," ",ALAPADATOK!C7," ",ALAPADATOK!D7," ",ALAPADATOK!E7," ",ALAPADATOK!F7," ",ALAPADATOK!G7," ",ALAPADATOK!H7)</f>
        <v>8.6. melléklet a 2 / 2021. ( II.15. ) önkormányzati rendelethez</v>
      </c>
      <c r="B1" s="1460"/>
      <c r="C1" s="1460"/>
      <c r="D1" s="1460"/>
      <c r="E1" s="1460"/>
    </row>
    <row r="2" spans="1:6" x14ac:dyDescent="0.2">
      <c r="A2" s="981"/>
      <c r="B2" s="981"/>
      <c r="C2" s="981"/>
      <c r="D2" s="981"/>
      <c r="E2" s="981"/>
    </row>
    <row r="3" spans="1:6" ht="54.75" customHeight="1" x14ac:dyDescent="0.25">
      <c r="A3" s="1464" t="s">
        <v>1020</v>
      </c>
      <c r="B3" s="1464"/>
      <c r="C3" s="1464"/>
      <c r="D3" s="1464"/>
      <c r="E3" s="1464"/>
      <c r="F3" s="983"/>
    </row>
    <row r="4" spans="1:6" ht="14.25" thickBot="1" x14ac:dyDescent="0.3">
      <c r="A4" s="871"/>
      <c r="B4" s="871"/>
      <c r="C4" s="871"/>
      <c r="D4" s="1461" t="s">
        <v>548</v>
      </c>
      <c r="E4" s="1461"/>
      <c r="F4" s="983"/>
    </row>
    <row r="5" spans="1:6" ht="15" customHeight="1" thickBot="1" x14ac:dyDescent="0.25">
      <c r="A5" s="916" t="s">
        <v>579</v>
      </c>
      <c r="B5" s="917" t="s">
        <v>861</v>
      </c>
      <c r="C5" s="917" t="s">
        <v>852</v>
      </c>
      <c r="D5" s="917" t="s">
        <v>862</v>
      </c>
      <c r="E5" s="918" t="s">
        <v>51</v>
      </c>
      <c r="F5" s="983"/>
    </row>
    <row r="6" spans="1:6" x14ac:dyDescent="0.2">
      <c r="A6" s="872" t="s">
        <v>580</v>
      </c>
      <c r="B6" s="989"/>
      <c r="C6" s="1000">
        <v>1080000</v>
      </c>
      <c r="D6" s="989"/>
      <c r="E6" s="874">
        <f>SUM(B6:D6)</f>
        <v>1080000</v>
      </c>
      <c r="F6" s="983"/>
    </row>
    <row r="7" spans="1:6" x14ac:dyDescent="0.2">
      <c r="A7" s="875" t="s">
        <v>581</v>
      </c>
      <c r="B7" s="991"/>
      <c r="C7" s="991"/>
      <c r="D7" s="991"/>
      <c r="E7" s="929">
        <f t="shared" ref="E7:E12" si="0">SUM(B7:D7)</f>
        <v>0</v>
      </c>
      <c r="F7" s="983"/>
    </row>
    <row r="8" spans="1:6" x14ac:dyDescent="0.2">
      <c r="A8" s="878" t="s">
        <v>582</v>
      </c>
      <c r="B8" s="993"/>
      <c r="C8" s="994">
        <v>9720000</v>
      </c>
      <c r="D8" s="993"/>
      <c r="E8" s="929">
        <f t="shared" si="0"/>
        <v>9720000</v>
      </c>
      <c r="F8" s="983"/>
    </row>
    <row r="9" spans="1:6" x14ac:dyDescent="0.2">
      <c r="A9" s="878" t="s">
        <v>583</v>
      </c>
      <c r="B9" s="993"/>
      <c r="C9" s="993"/>
      <c r="D9" s="993"/>
      <c r="E9" s="929">
        <f t="shared" si="0"/>
        <v>0</v>
      </c>
      <c r="F9" s="983"/>
    </row>
    <row r="10" spans="1:6" x14ac:dyDescent="0.2">
      <c r="A10" s="878" t="s">
        <v>121</v>
      </c>
      <c r="B10" s="993"/>
      <c r="C10" s="993"/>
      <c r="D10" s="993"/>
      <c r="E10" s="929">
        <f t="shared" si="0"/>
        <v>0</v>
      </c>
      <c r="F10" s="983"/>
    </row>
    <row r="11" spans="1:6" x14ac:dyDescent="0.2">
      <c r="A11" s="878" t="s">
        <v>584</v>
      </c>
      <c r="B11" s="993"/>
      <c r="C11" s="993"/>
      <c r="D11" s="993"/>
      <c r="E11" s="929">
        <f t="shared" si="0"/>
        <v>0</v>
      </c>
      <c r="F11" s="983"/>
    </row>
    <row r="12" spans="1:6" ht="13.5" thickBot="1" x14ac:dyDescent="0.25">
      <c r="A12" s="879"/>
      <c r="B12" s="997"/>
      <c r="C12" s="997"/>
      <c r="D12" s="997"/>
      <c r="E12" s="1401">
        <f t="shared" si="0"/>
        <v>0</v>
      </c>
      <c r="F12" s="983"/>
    </row>
    <row r="13" spans="1:6" ht="13.5" thickBot="1" x14ac:dyDescent="0.25">
      <c r="A13" s="919" t="s">
        <v>585</v>
      </c>
      <c r="B13" s="920">
        <f>SUM(B6:B12)</f>
        <v>0</v>
      </c>
      <c r="C13" s="920">
        <f>SUM(C6:C12)</f>
        <v>10800000</v>
      </c>
      <c r="D13" s="920">
        <f>SUM(D6:D12)</f>
        <v>0</v>
      </c>
      <c r="E13" s="921">
        <f>SUM(E6:E12)</f>
        <v>10800000</v>
      </c>
      <c r="F13" s="983"/>
    </row>
    <row r="14" spans="1:6" ht="13.5" thickBot="1" x14ac:dyDescent="0.25">
      <c r="A14" s="880"/>
      <c r="B14" s="880"/>
      <c r="C14" s="880"/>
      <c r="D14" s="880"/>
      <c r="E14" s="880"/>
      <c r="F14" s="983"/>
    </row>
    <row r="15" spans="1:6" ht="15" customHeight="1" thickBot="1" x14ac:dyDescent="0.25">
      <c r="A15" s="916" t="s">
        <v>586</v>
      </c>
      <c r="B15" s="917" t="s">
        <v>861</v>
      </c>
      <c r="C15" s="917" t="s">
        <v>852</v>
      </c>
      <c r="D15" s="917" t="s">
        <v>862</v>
      </c>
      <c r="E15" s="918" t="s">
        <v>51</v>
      </c>
      <c r="F15" s="983"/>
    </row>
    <row r="16" spans="1:6" x14ac:dyDescent="0.2">
      <c r="A16" s="872" t="s">
        <v>587</v>
      </c>
      <c r="B16" s="989"/>
      <c r="C16" s="1000">
        <v>196850</v>
      </c>
      <c r="D16" s="989"/>
      <c r="E16" s="874">
        <f>SUM(B16:D16)</f>
        <v>196850</v>
      </c>
      <c r="F16" s="983"/>
    </row>
    <row r="17" spans="1:6" x14ac:dyDescent="0.2">
      <c r="A17" s="881" t="s">
        <v>588</v>
      </c>
      <c r="B17" s="993"/>
      <c r="C17" s="994">
        <v>4019215</v>
      </c>
      <c r="D17" s="993"/>
      <c r="E17" s="929">
        <f>SUM(B17:D17)</f>
        <v>4019215</v>
      </c>
      <c r="F17" s="983"/>
    </row>
    <row r="18" spans="1:6" x14ac:dyDescent="0.2">
      <c r="A18" s="878" t="s">
        <v>589</v>
      </c>
      <c r="B18" s="993"/>
      <c r="C18" s="994">
        <v>6583935</v>
      </c>
      <c r="D18" s="993"/>
      <c r="E18" s="929">
        <f>SUM(B18:D18)</f>
        <v>6583935</v>
      </c>
      <c r="F18" s="983"/>
    </row>
    <row r="19" spans="1:6" x14ac:dyDescent="0.2">
      <c r="A19" s="878" t="s">
        <v>590</v>
      </c>
      <c r="B19" s="993"/>
      <c r="C19" s="993"/>
      <c r="D19" s="993"/>
      <c r="E19" s="929">
        <f>SUM(B19:D19)</f>
        <v>0</v>
      </c>
      <c r="F19" s="983"/>
    </row>
    <row r="20" spans="1:6" x14ac:dyDescent="0.2">
      <c r="A20" s="882" t="s">
        <v>591</v>
      </c>
      <c r="B20" s="993"/>
      <c r="C20" s="993"/>
      <c r="D20" s="993"/>
      <c r="E20" s="1401">
        <f>SUM(B20:D20)</f>
        <v>0</v>
      </c>
      <c r="F20" s="983"/>
    </row>
    <row r="21" spans="1:6" x14ac:dyDescent="0.2">
      <c r="A21" s="882" t="s">
        <v>592</v>
      </c>
      <c r="B21" s="993"/>
      <c r="C21" s="993"/>
      <c r="D21" s="993"/>
      <c r="E21" s="995">
        <v>0</v>
      </c>
      <c r="F21" s="983"/>
    </row>
    <row r="22" spans="1:6" ht="13.5" thickBot="1" x14ac:dyDescent="0.25">
      <c r="A22" s="879"/>
      <c r="B22" s="997"/>
      <c r="C22" s="997"/>
      <c r="D22" s="997"/>
      <c r="E22" s="995">
        <v>0</v>
      </c>
      <c r="F22" s="983"/>
    </row>
    <row r="23" spans="1:6" ht="13.5" thickBot="1" x14ac:dyDescent="0.25">
      <c r="A23" s="919" t="s">
        <v>52</v>
      </c>
      <c r="B23" s="920">
        <f>SUM(B16:B22)</f>
        <v>0</v>
      </c>
      <c r="C23" s="920">
        <f>SUM(C16:C22)</f>
        <v>10800000</v>
      </c>
      <c r="D23" s="920">
        <f>SUM(D16:D22)</f>
        <v>0</v>
      </c>
      <c r="E23" s="921">
        <f>SUM(E16:E22)</f>
        <v>10800000</v>
      </c>
      <c r="F23" s="983"/>
    </row>
    <row r="24" spans="1:6" x14ac:dyDescent="0.2">
      <c r="A24" s="981"/>
      <c r="B24" s="981"/>
      <c r="C24" s="981"/>
      <c r="D24" s="981"/>
      <c r="E24" s="981"/>
    </row>
    <row r="25" spans="1:6" ht="48.75" customHeight="1" x14ac:dyDescent="0.25">
      <c r="A25" s="1464" t="s">
        <v>843</v>
      </c>
      <c r="B25" s="1464"/>
      <c r="C25" s="1464"/>
      <c r="D25" s="1464"/>
      <c r="E25" s="1464"/>
    </row>
    <row r="26" spans="1:6" ht="14.25" thickBot="1" x14ac:dyDescent="0.3">
      <c r="A26" s="871"/>
      <c r="B26" s="871"/>
      <c r="C26" s="871"/>
      <c r="D26" s="1461" t="s">
        <v>548</v>
      </c>
      <c r="E26" s="1461"/>
    </row>
    <row r="27" spans="1:6" ht="13.5" thickBot="1" x14ac:dyDescent="0.25">
      <c r="A27" s="916" t="s">
        <v>579</v>
      </c>
      <c r="B27" s="917" t="s">
        <v>861</v>
      </c>
      <c r="C27" s="917" t="s">
        <v>852</v>
      </c>
      <c r="D27" s="917" t="s">
        <v>862</v>
      </c>
      <c r="E27" s="918" t="s">
        <v>51</v>
      </c>
    </row>
    <row r="28" spans="1:6" x14ac:dyDescent="0.2">
      <c r="A28" s="872" t="s">
        <v>580</v>
      </c>
      <c r="B28" s="989"/>
      <c r="C28" s="1000"/>
      <c r="D28" s="989"/>
      <c r="E28" s="874">
        <f>SUM(B28:D28)</f>
        <v>0</v>
      </c>
    </row>
    <row r="29" spans="1:6" x14ac:dyDescent="0.2">
      <c r="A29" s="875" t="s">
        <v>581</v>
      </c>
      <c r="B29" s="991"/>
      <c r="C29" s="991"/>
      <c r="D29" s="991"/>
      <c r="E29" s="929">
        <f t="shared" ref="E29:E34" si="1">SUM(B29:D29)</f>
        <v>0</v>
      </c>
    </row>
    <row r="30" spans="1:6" x14ac:dyDescent="0.2">
      <c r="A30" s="878" t="s">
        <v>582</v>
      </c>
      <c r="B30" s="993"/>
      <c r="C30" s="994"/>
      <c r="D30" s="993"/>
      <c r="E30" s="929">
        <f t="shared" si="1"/>
        <v>0</v>
      </c>
    </row>
    <row r="31" spans="1:6" x14ac:dyDescent="0.2">
      <c r="A31" s="878" t="s">
        <v>583</v>
      </c>
      <c r="B31" s="993"/>
      <c r="C31" s="993"/>
      <c r="D31" s="993"/>
      <c r="E31" s="929">
        <f t="shared" si="1"/>
        <v>0</v>
      </c>
    </row>
    <row r="32" spans="1:6" x14ac:dyDescent="0.2">
      <c r="A32" s="878" t="s">
        <v>121</v>
      </c>
      <c r="B32" s="993"/>
      <c r="C32" s="993"/>
      <c r="D32" s="993"/>
      <c r="E32" s="929">
        <f t="shared" si="1"/>
        <v>0</v>
      </c>
    </row>
    <row r="33" spans="1:5" x14ac:dyDescent="0.2">
      <c r="A33" s="878" t="s">
        <v>584</v>
      </c>
      <c r="B33" s="993"/>
      <c r="C33" s="993"/>
      <c r="D33" s="993"/>
      <c r="E33" s="929">
        <f t="shared" si="1"/>
        <v>0</v>
      </c>
    </row>
    <row r="34" spans="1:5" ht="13.5" thickBot="1" x14ac:dyDescent="0.25">
      <c r="A34" s="879"/>
      <c r="B34" s="997"/>
      <c r="C34" s="997"/>
      <c r="D34" s="997"/>
      <c r="E34" s="1401">
        <f t="shared" si="1"/>
        <v>0</v>
      </c>
    </row>
    <row r="35" spans="1:5" ht="13.5" thickBot="1" x14ac:dyDescent="0.25">
      <c r="A35" s="919" t="s">
        <v>585</v>
      </c>
      <c r="B35" s="920">
        <f>SUM(B28:B34)</f>
        <v>0</v>
      </c>
      <c r="C35" s="920">
        <f>SUM(C28:C34)</f>
        <v>0</v>
      </c>
      <c r="D35" s="920">
        <f>SUM(D28:D34)</f>
        <v>0</v>
      </c>
      <c r="E35" s="921">
        <f>SUM(E28:E34)</f>
        <v>0</v>
      </c>
    </row>
    <row r="36" spans="1:5" ht="13.5" thickBot="1" x14ac:dyDescent="0.25">
      <c r="A36" s="880"/>
      <c r="B36" s="880"/>
      <c r="C36" s="880"/>
      <c r="D36" s="880"/>
      <c r="E36" s="880"/>
    </row>
    <row r="37" spans="1:5" ht="13.5" thickBot="1" x14ac:dyDescent="0.25">
      <c r="A37" s="916" t="s">
        <v>586</v>
      </c>
      <c r="B37" s="917" t="s">
        <v>861</v>
      </c>
      <c r="C37" s="917" t="s">
        <v>852</v>
      </c>
      <c r="D37" s="917" t="s">
        <v>862</v>
      </c>
      <c r="E37" s="918" t="s">
        <v>51</v>
      </c>
    </row>
    <row r="38" spans="1:5" x14ac:dyDescent="0.2">
      <c r="A38" s="872" t="s">
        <v>587</v>
      </c>
      <c r="B38" s="989"/>
      <c r="C38" s="1000"/>
      <c r="D38" s="989"/>
      <c r="E38" s="874">
        <f>SUM(B38:D38)</f>
        <v>0</v>
      </c>
    </row>
    <row r="39" spans="1:5" x14ac:dyDescent="0.2">
      <c r="A39" s="881" t="s">
        <v>588</v>
      </c>
      <c r="B39" s="993"/>
      <c r="C39" s="994"/>
      <c r="D39" s="993"/>
      <c r="E39" s="929">
        <f>SUM(B39:D39)</f>
        <v>0</v>
      </c>
    </row>
    <row r="40" spans="1:5" x14ac:dyDescent="0.2">
      <c r="A40" s="878" t="s">
        <v>589</v>
      </c>
      <c r="B40" s="993"/>
      <c r="C40" s="994"/>
      <c r="D40" s="993"/>
      <c r="E40" s="929">
        <f>SUM(B40:D40)</f>
        <v>0</v>
      </c>
    </row>
    <row r="41" spans="1:5" x14ac:dyDescent="0.2">
      <c r="A41" s="878" t="s">
        <v>590</v>
      </c>
      <c r="B41" s="993"/>
      <c r="C41" s="993"/>
      <c r="D41" s="993"/>
      <c r="E41" s="929">
        <f>SUM(B41:D41)</f>
        <v>0</v>
      </c>
    </row>
    <row r="42" spans="1:5" x14ac:dyDescent="0.2">
      <c r="A42" s="882" t="s">
        <v>591</v>
      </c>
      <c r="B42" s="993"/>
      <c r="C42" s="993"/>
      <c r="D42" s="993"/>
      <c r="E42" s="1401">
        <f>SUM(B42:D42)</f>
        <v>0</v>
      </c>
    </row>
    <row r="43" spans="1:5" x14ac:dyDescent="0.2">
      <c r="A43" s="882" t="s">
        <v>592</v>
      </c>
      <c r="B43" s="993"/>
      <c r="C43" s="993"/>
      <c r="D43" s="993"/>
      <c r="E43" s="995">
        <v>0</v>
      </c>
    </row>
    <row r="44" spans="1:5" ht="13.5" thickBot="1" x14ac:dyDescent="0.25">
      <c r="A44" s="879"/>
      <c r="B44" s="997"/>
      <c r="C44" s="997"/>
      <c r="D44" s="997"/>
      <c r="E44" s="995">
        <v>0</v>
      </c>
    </row>
    <row r="45" spans="1:5" ht="13.5" thickBot="1" x14ac:dyDescent="0.25">
      <c r="A45" s="919" t="s">
        <v>52</v>
      </c>
      <c r="B45" s="920">
        <f>SUM(B38:B44)</f>
        <v>0</v>
      </c>
      <c r="C45" s="920">
        <f>SUM(C38:C44)</f>
        <v>0</v>
      </c>
      <c r="D45" s="920">
        <f>SUM(D38:D44)</f>
        <v>0</v>
      </c>
      <c r="E45" s="921">
        <f>SUM(E38:E44)</f>
        <v>0</v>
      </c>
    </row>
    <row r="46" spans="1:5" x14ac:dyDescent="0.2">
      <c r="A46" s="981"/>
      <c r="B46" s="981"/>
      <c r="C46" s="981"/>
      <c r="D46" s="981"/>
      <c r="E46" s="981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8" priority="11" stopIfTrue="1" operator="equal">
      <formula>0</formula>
    </cfRule>
  </conditionalFormatting>
  <conditionalFormatting sqref="E42">
    <cfRule type="cellIs" dxfId="17" priority="10" stopIfTrue="1" operator="equal">
      <formula>0</formula>
    </cfRule>
  </conditionalFormatting>
  <conditionalFormatting sqref="E28:E34">
    <cfRule type="cellIs" dxfId="16" priority="25" stopIfTrue="1" operator="equal">
      <formula>0</formula>
    </cfRule>
  </conditionalFormatting>
  <conditionalFormatting sqref="B35:E35">
    <cfRule type="cellIs" dxfId="15" priority="24" stopIfTrue="1" operator="equal">
      <formula>0</formula>
    </cfRule>
  </conditionalFormatting>
  <conditionalFormatting sqref="E43:E44">
    <cfRule type="cellIs" dxfId="14" priority="16" stopIfTrue="1" operator="equal">
      <formula>0</formula>
    </cfRule>
  </conditionalFormatting>
  <conditionalFormatting sqref="B45:E45">
    <cfRule type="cellIs" dxfId="13" priority="15" stopIfTrue="1" operator="equal">
      <formula>0</formula>
    </cfRule>
  </conditionalFormatting>
  <conditionalFormatting sqref="E38">
    <cfRule type="cellIs" dxfId="12" priority="14" stopIfTrue="1" operator="equal">
      <formula>0</formula>
    </cfRule>
  </conditionalFormatting>
  <conditionalFormatting sqref="E39">
    <cfRule type="cellIs" dxfId="11" priority="13" stopIfTrue="1" operator="equal">
      <formula>0</formula>
    </cfRule>
  </conditionalFormatting>
  <conditionalFormatting sqref="E40">
    <cfRule type="cellIs" dxfId="10" priority="12" stopIfTrue="1" operator="equal">
      <formula>0</formula>
    </cfRule>
  </conditionalFormatting>
  <conditionalFormatting sqref="E19">
    <cfRule type="cellIs" dxfId="9" priority="2" stopIfTrue="1" operator="equal">
      <formula>0</formula>
    </cfRule>
  </conditionalFormatting>
  <conditionalFormatting sqref="E20">
    <cfRule type="cellIs" dxfId="8" priority="1" stopIfTrue="1" operator="equal">
      <formula>0</formula>
    </cfRule>
  </conditionalFormatting>
  <conditionalFormatting sqref="E6:E12">
    <cfRule type="cellIs" dxfId="7" priority="9" stopIfTrue="1" operator="equal">
      <formula>0</formula>
    </cfRule>
  </conditionalFormatting>
  <conditionalFormatting sqref="B13:E13">
    <cfRule type="cellIs" dxfId="6" priority="8" stopIfTrue="1" operator="equal">
      <formula>0</formula>
    </cfRule>
  </conditionalFormatting>
  <conditionalFormatting sqref="E21:E22">
    <cfRule type="cellIs" dxfId="5" priority="7" stopIfTrue="1" operator="equal">
      <formula>0</formula>
    </cfRule>
  </conditionalFormatting>
  <conditionalFormatting sqref="B23:E23">
    <cfRule type="cellIs" dxfId="4" priority="6" stopIfTrue="1" operator="equal">
      <formula>0</formula>
    </cfRule>
  </conditionalFormatting>
  <conditionalFormatting sqref="E16">
    <cfRule type="cellIs" dxfId="3" priority="5" stopIfTrue="1" operator="equal">
      <formula>0</formula>
    </cfRule>
  </conditionalFormatting>
  <conditionalFormatting sqref="E17">
    <cfRule type="cellIs" dxfId="2" priority="4" stopIfTrue="1" operator="equal">
      <formula>0</formula>
    </cfRule>
  </conditionalFormatting>
  <conditionalFormatting sqref="E18">
    <cfRule type="cellIs" dxfId="1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9"/>
  <sheetViews>
    <sheetView zoomScale="115" zoomScaleNormal="115" zoomScaleSheetLayoutView="85" workbookViewId="0">
      <selection activeCell="B11" sqref="B11"/>
    </sheetView>
  </sheetViews>
  <sheetFormatPr defaultRowHeight="12.75" x14ac:dyDescent="0.2"/>
  <cols>
    <col min="1" max="1" width="19.5" style="1009" customWidth="1"/>
    <col min="2" max="2" width="72" style="390" customWidth="1"/>
    <col min="3" max="3" width="25" style="356" customWidth="1"/>
    <col min="4" max="4" width="16.6640625" style="912" hidden="1" customWidth="1"/>
    <col min="5" max="5" width="11.83203125" style="912" hidden="1" customWidth="1"/>
    <col min="6" max="6" width="11.83203125" style="911" hidden="1" customWidth="1"/>
    <col min="7" max="16384" width="9.33203125" style="902"/>
  </cols>
  <sheetData>
    <row r="1" spans="1:6" x14ac:dyDescent="0.2">
      <c r="A1" s="1465" t="str">
        <f>CONCATENATE("9.1. melléklet"," ",ALAPADATOK!A7," ",ALAPADATOK!B7," ",ALAPADATOK!C7," ",ALAPADATOK!D7," ",ALAPADATOK!E7," ",ALAPADATOK!F7," ",ALAPADATOK!G7," ",ALAPADATOK!H7)</f>
        <v>9.1. melléklet a 2 / 2021. ( II.15. ) önkormányzati rendelethez</v>
      </c>
      <c r="B1" s="1465"/>
      <c r="C1" s="1465"/>
    </row>
    <row r="2" spans="1:6" s="1" customFormat="1" ht="16.5" customHeight="1" thickBot="1" x14ac:dyDescent="0.25">
      <c r="A2" s="1006"/>
      <c r="B2" s="81"/>
      <c r="C2" s="103"/>
      <c r="D2" s="912"/>
      <c r="E2" s="912"/>
      <c r="F2" s="911"/>
    </row>
    <row r="3" spans="1:6" s="38" customFormat="1" ht="21" customHeight="1" x14ac:dyDescent="0.2">
      <c r="A3" s="182" t="s">
        <v>62</v>
      </c>
      <c r="B3" s="161" t="s">
        <v>167</v>
      </c>
      <c r="C3" s="163" t="s">
        <v>53</v>
      </c>
      <c r="D3" s="382"/>
      <c r="E3" s="382"/>
      <c r="F3" s="381"/>
    </row>
    <row r="4" spans="1:6" s="38" customFormat="1" ht="16.5" thickBot="1" x14ac:dyDescent="0.25">
      <c r="A4" s="1007" t="s">
        <v>163</v>
      </c>
      <c r="B4" s="162" t="s">
        <v>344</v>
      </c>
      <c r="C4" s="262" t="s">
        <v>53</v>
      </c>
      <c r="D4" s="382"/>
      <c r="E4" s="382"/>
      <c r="F4" s="381"/>
    </row>
    <row r="5" spans="1:6" s="39" customFormat="1" ht="15.95" customHeight="1" thickBot="1" x14ac:dyDescent="0.3">
      <c r="A5" s="1008"/>
      <c r="B5" s="83"/>
      <c r="C5" s="84" t="s">
        <v>539</v>
      </c>
      <c r="D5" s="382"/>
      <c r="E5" s="382"/>
      <c r="F5" s="381"/>
    </row>
    <row r="6" spans="1:6" ht="13.5" thickBot="1" x14ac:dyDescent="0.25">
      <c r="A6" s="183" t="s">
        <v>165</v>
      </c>
      <c r="B6" s="85" t="s">
        <v>54</v>
      </c>
      <c r="C6" s="164" t="s">
        <v>55</v>
      </c>
    </row>
    <row r="7" spans="1:6" s="32" customFormat="1" ht="12.95" customHeight="1" thickBot="1" x14ac:dyDescent="0.25">
      <c r="A7" s="73" t="s">
        <v>434</v>
      </c>
      <c r="B7" s="74" t="s">
        <v>435</v>
      </c>
      <c r="C7" s="75" t="s">
        <v>436</v>
      </c>
      <c r="D7" s="912"/>
      <c r="E7" s="912"/>
      <c r="F7" s="383"/>
    </row>
    <row r="8" spans="1:6" s="32" customFormat="1" ht="15.95" customHeight="1" thickBot="1" x14ac:dyDescent="0.25">
      <c r="A8" s="87"/>
      <c r="B8" s="88" t="s">
        <v>56</v>
      </c>
      <c r="C8" s="165"/>
      <c r="D8" s="912"/>
      <c r="E8" s="912"/>
      <c r="F8" s="383"/>
    </row>
    <row r="9" spans="1:6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1586722929</v>
      </c>
      <c r="D9" s="384">
        <f>'9.1.1. sz. mell. '!C9+'9.1.2. sz. mell.'!C9</f>
        <v>1586722929</v>
      </c>
      <c r="E9" s="384">
        <f t="shared" ref="E9:E73" si="0">C9-D9</f>
        <v>0</v>
      </c>
      <c r="F9" s="383">
        <f>C9-D9</f>
        <v>0</v>
      </c>
    </row>
    <row r="10" spans="1:6" s="40" customFormat="1" ht="12" customHeight="1" thickBot="1" x14ac:dyDescent="0.25">
      <c r="A10" s="206" t="s">
        <v>97</v>
      </c>
      <c r="B10" s="192" t="s">
        <v>193</v>
      </c>
      <c r="C10" s="230">
        <v>295696597</v>
      </c>
      <c r="D10" s="384">
        <f>'9.1.1. sz. mell. '!C10+'9.1.2. sz. mell.'!C10</f>
        <v>295696597</v>
      </c>
      <c r="E10" s="385">
        <f t="shared" si="0"/>
        <v>0</v>
      </c>
      <c r="F10" s="383">
        <f t="shared" ref="F10:F74" si="1">C10-D10</f>
        <v>0</v>
      </c>
    </row>
    <row r="11" spans="1:6" s="41" customFormat="1" ht="12" customHeight="1" thickBot="1" x14ac:dyDescent="0.25">
      <c r="A11" s="207" t="s">
        <v>98</v>
      </c>
      <c r="B11" s="193" t="s">
        <v>194</v>
      </c>
      <c r="C11" s="1029">
        <v>254023920</v>
      </c>
      <c r="D11" s="384">
        <f>'9.1.1. sz. mell. '!C11+'9.1.2. sz. mell.'!C11</f>
        <v>254023920</v>
      </c>
      <c r="E11" s="386">
        <f t="shared" si="0"/>
        <v>0</v>
      </c>
      <c r="F11" s="383">
        <f t="shared" si="1"/>
        <v>0</v>
      </c>
    </row>
    <row r="12" spans="1:6" s="41" customFormat="1" ht="12" customHeight="1" thickBot="1" x14ac:dyDescent="0.25">
      <c r="A12" s="207" t="s">
        <v>99</v>
      </c>
      <c r="B12" s="193" t="s">
        <v>820</v>
      </c>
      <c r="C12" s="1029">
        <f>SUM(C13:C14)</f>
        <v>761734873</v>
      </c>
      <c r="D12" s="384">
        <f>'9.1.1. sz. mell. '!C12+'9.1.2. sz. mell.'!C12</f>
        <v>761734873</v>
      </c>
      <c r="E12" s="386">
        <f t="shared" si="0"/>
        <v>0</v>
      </c>
      <c r="F12" s="383">
        <f t="shared" si="1"/>
        <v>0</v>
      </c>
    </row>
    <row r="13" spans="1:6" s="41" customFormat="1" ht="12" customHeight="1" thickBot="1" x14ac:dyDescent="0.25">
      <c r="A13" s="207" t="s">
        <v>818</v>
      </c>
      <c r="B13" s="193" t="s">
        <v>821</v>
      </c>
      <c r="C13" s="1029">
        <v>635476079</v>
      </c>
      <c r="D13" s="384">
        <f>'9.1.1. sz. mell. '!C13+'9.1.2. sz. mell.'!C13</f>
        <v>635476079</v>
      </c>
      <c r="E13" s="386">
        <f t="shared" si="0"/>
        <v>0</v>
      </c>
      <c r="F13" s="383">
        <f t="shared" si="1"/>
        <v>0</v>
      </c>
    </row>
    <row r="14" spans="1:6" s="41" customFormat="1" ht="12" customHeight="1" thickBot="1" x14ac:dyDescent="0.25">
      <c r="A14" s="207" t="s">
        <v>819</v>
      </c>
      <c r="B14" s="193" t="s">
        <v>822</v>
      </c>
      <c r="C14" s="1029">
        <v>126258794</v>
      </c>
      <c r="D14" s="384">
        <f>'9.1.1. sz. mell. '!C14+'9.1.2. sz. mell.'!C14</f>
        <v>126258794</v>
      </c>
      <c r="E14" s="386">
        <f t="shared" si="0"/>
        <v>0</v>
      </c>
      <c r="F14" s="383">
        <f t="shared" si="1"/>
        <v>0</v>
      </c>
    </row>
    <row r="15" spans="1:6" s="41" customFormat="1" ht="12" customHeight="1" thickBot="1" x14ac:dyDescent="0.25">
      <c r="A15" s="207" t="s">
        <v>100</v>
      </c>
      <c r="B15" s="193" t="s">
        <v>196</v>
      </c>
      <c r="C15" s="1029">
        <v>40888120</v>
      </c>
      <c r="D15" s="384">
        <f>'9.1.1. sz. mell. '!C15+'9.1.2. sz. mell.'!C15</f>
        <v>40888120</v>
      </c>
      <c r="E15" s="386">
        <f t="shared" si="0"/>
        <v>0</v>
      </c>
      <c r="F15" s="383">
        <f t="shared" si="1"/>
        <v>0</v>
      </c>
    </row>
    <row r="16" spans="1:6" s="41" customFormat="1" ht="12" customHeight="1" thickBot="1" x14ac:dyDescent="0.25">
      <c r="A16" s="207" t="s">
        <v>123</v>
      </c>
      <c r="B16" s="193" t="s">
        <v>495</v>
      </c>
      <c r="C16" s="1029">
        <f>234271694+107725</f>
        <v>234379419</v>
      </c>
      <c r="D16" s="384">
        <f>'9.1.1. sz. mell. '!C16+'9.1.2. sz. mell.'!C16</f>
        <v>234379419</v>
      </c>
      <c r="E16" s="386">
        <f t="shared" si="0"/>
        <v>0</v>
      </c>
      <c r="F16" s="383">
        <f t="shared" si="1"/>
        <v>0</v>
      </c>
    </row>
    <row r="17" spans="1:6" s="40" customFormat="1" ht="12" customHeight="1" thickBot="1" x14ac:dyDescent="0.25">
      <c r="A17" s="208" t="s">
        <v>101</v>
      </c>
      <c r="B17" s="194" t="s">
        <v>438</v>
      </c>
      <c r="C17" s="105"/>
      <c r="D17" s="384">
        <f>'9.1.1. sz. mell. '!C17+'9.1.2. sz. mell.'!C17</f>
        <v>0</v>
      </c>
      <c r="E17" s="387">
        <f t="shared" si="0"/>
        <v>0</v>
      </c>
      <c r="F17" s="383">
        <f t="shared" si="1"/>
        <v>0</v>
      </c>
    </row>
    <row r="18" spans="1:6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255808159</v>
      </c>
      <c r="D18" s="384">
        <f>'9.1.1. sz. mell. '!C18+'9.1.2. sz. mell.'!C18</f>
        <v>255808159</v>
      </c>
      <c r="E18" s="384">
        <f t="shared" si="0"/>
        <v>0</v>
      </c>
      <c r="F18" s="383">
        <f t="shared" si="1"/>
        <v>0</v>
      </c>
    </row>
    <row r="19" spans="1:6" s="40" customFormat="1" ht="12" customHeight="1" thickBot="1" x14ac:dyDescent="0.25">
      <c r="A19" s="206" t="s">
        <v>103</v>
      </c>
      <c r="B19" s="192" t="s">
        <v>198</v>
      </c>
      <c r="C19" s="278"/>
      <c r="D19" s="384">
        <f>'9.1.1. sz. mell. '!C19+'9.1.2. sz. mell.'!C19</f>
        <v>0</v>
      </c>
      <c r="E19" s="385">
        <f t="shared" si="0"/>
        <v>0</v>
      </c>
      <c r="F19" s="383">
        <f t="shared" si="1"/>
        <v>0</v>
      </c>
    </row>
    <row r="20" spans="1:6" s="40" customFormat="1" ht="12" customHeight="1" thickBot="1" x14ac:dyDescent="0.25">
      <c r="A20" s="207" t="s">
        <v>104</v>
      </c>
      <c r="B20" s="193" t="s">
        <v>199</v>
      </c>
      <c r="C20" s="105"/>
      <c r="D20" s="384">
        <f>'9.1.1. sz. mell. '!C20+'9.1.2. sz. mell.'!C20</f>
        <v>0</v>
      </c>
      <c r="E20" s="386">
        <f t="shared" si="0"/>
        <v>0</v>
      </c>
      <c r="F20" s="383">
        <f t="shared" si="1"/>
        <v>0</v>
      </c>
    </row>
    <row r="21" spans="1:6" s="40" customFormat="1" ht="12" customHeight="1" thickBot="1" x14ac:dyDescent="0.25">
      <c r="A21" s="207" t="s">
        <v>105</v>
      </c>
      <c r="B21" s="193" t="s">
        <v>367</v>
      </c>
      <c r="C21" s="105"/>
      <c r="D21" s="384">
        <f>'9.1.1. sz. mell. '!C21+'9.1.2. sz. mell.'!C21</f>
        <v>0</v>
      </c>
      <c r="E21" s="386">
        <f t="shared" si="0"/>
        <v>0</v>
      </c>
      <c r="F21" s="383">
        <f t="shared" si="1"/>
        <v>0</v>
      </c>
    </row>
    <row r="22" spans="1:6" s="40" customFormat="1" ht="12" customHeight="1" thickBot="1" x14ac:dyDescent="0.25">
      <c r="A22" s="207" t="s">
        <v>106</v>
      </c>
      <c r="B22" s="193" t="s">
        <v>368</v>
      </c>
      <c r="C22" s="105"/>
      <c r="D22" s="384">
        <f>'9.1.1. sz. mell. '!C22+'9.1.2. sz. mell.'!C22</f>
        <v>0</v>
      </c>
      <c r="E22" s="386">
        <f t="shared" si="0"/>
        <v>0</v>
      </c>
      <c r="F22" s="383">
        <f t="shared" si="1"/>
        <v>0</v>
      </c>
    </row>
    <row r="23" spans="1:6" s="40" customFormat="1" ht="12" customHeight="1" thickBot="1" x14ac:dyDescent="0.25">
      <c r="A23" s="207" t="s">
        <v>107</v>
      </c>
      <c r="B23" s="193" t="s">
        <v>200</v>
      </c>
      <c r="C23" s="1030">
        <v>255808159</v>
      </c>
      <c r="D23" s="384">
        <f>'9.1.1. sz. mell. '!C23+'9.1.2. sz. mell.'!C23</f>
        <v>255808159</v>
      </c>
      <c r="E23" s="386">
        <f t="shared" si="0"/>
        <v>0</v>
      </c>
      <c r="F23" s="383">
        <f t="shared" si="1"/>
        <v>0</v>
      </c>
    </row>
    <row r="24" spans="1:6" s="41" customFormat="1" ht="12" customHeight="1" thickBot="1" x14ac:dyDescent="0.25">
      <c r="A24" s="208" t="s">
        <v>116</v>
      </c>
      <c r="B24" s="194" t="s">
        <v>201</v>
      </c>
      <c r="C24" s="1031">
        <f>17520150+30768216</f>
        <v>48288366</v>
      </c>
      <c r="D24" s="384">
        <f>'9.1.1. sz. mell. '!C24+'9.1.2. sz. mell.'!C24</f>
        <v>48288366</v>
      </c>
      <c r="E24" s="387">
        <f t="shared" si="0"/>
        <v>0</v>
      </c>
      <c r="F24" s="383">
        <f t="shared" si="1"/>
        <v>0</v>
      </c>
    </row>
    <row r="25" spans="1:6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127479073</v>
      </c>
      <c r="D25" s="384">
        <f>'9.1.1. sz. mell. '!C25+'9.1.2. sz. mell.'!C25</f>
        <v>127479073</v>
      </c>
      <c r="E25" s="384">
        <f t="shared" si="0"/>
        <v>0</v>
      </c>
      <c r="F25" s="383">
        <f t="shared" si="1"/>
        <v>0</v>
      </c>
    </row>
    <row r="26" spans="1:6" s="41" customFormat="1" ht="12" customHeight="1" thickBot="1" x14ac:dyDescent="0.25">
      <c r="A26" s="206" t="s">
        <v>86</v>
      </c>
      <c r="B26" s="192" t="s">
        <v>203</v>
      </c>
      <c r="C26" s="1032"/>
      <c r="D26" s="384">
        <f>'9.1.1. sz. mell. '!C26+'9.1.2. sz. mell.'!C26</f>
        <v>0</v>
      </c>
      <c r="E26" s="385">
        <f t="shared" si="0"/>
        <v>0</v>
      </c>
      <c r="F26" s="383">
        <f t="shared" si="1"/>
        <v>0</v>
      </c>
    </row>
    <row r="27" spans="1:6" s="40" customFormat="1" ht="12" customHeight="1" thickBot="1" x14ac:dyDescent="0.25">
      <c r="A27" s="207" t="s">
        <v>87</v>
      </c>
      <c r="B27" s="193" t="s">
        <v>204</v>
      </c>
      <c r="C27" s="1030"/>
      <c r="D27" s="384">
        <f>'9.1.1. sz. mell. '!C27+'9.1.2. sz. mell.'!C27</f>
        <v>0</v>
      </c>
      <c r="E27" s="386">
        <f t="shared" si="0"/>
        <v>0</v>
      </c>
      <c r="F27" s="383">
        <f t="shared" si="1"/>
        <v>0</v>
      </c>
    </row>
    <row r="28" spans="1:6" s="41" customFormat="1" ht="12" customHeight="1" thickBot="1" x14ac:dyDescent="0.25">
      <c r="A28" s="207" t="s">
        <v>88</v>
      </c>
      <c r="B28" s="193" t="s">
        <v>369</v>
      </c>
      <c r="C28" s="1030"/>
      <c r="D28" s="384">
        <f>'9.1.1. sz. mell. '!C28+'9.1.2. sz. mell.'!C28</f>
        <v>0</v>
      </c>
      <c r="E28" s="386">
        <f t="shared" si="0"/>
        <v>0</v>
      </c>
      <c r="F28" s="383">
        <f t="shared" si="1"/>
        <v>0</v>
      </c>
    </row>
    <row r="29" spans="1:6" s="41" customFormat="1" ht="12" customHeight="1" thickBot="1" x14ac:dyDescent="0.25">
      <c r="A29" s="207" t="s">
        <v>89</v>
      </c>
      <c r="B29" s="193" t="s">
        <v>370</v>
      </c>
      <c r="C29" s="1030"/>
      <c r="D29" s="384">
        <f>'9.1.1. sz. mell. '!C29+'9.1.2. sz. mell.'!C29</f>
        <v>0</v>
      </c>
      <c r="E29" s="386">
        <f t="shared" si="0"/>
        <v>0</v>
      </c>
      <c r="F29" s="383">
        <f t="shared" si="1"/>
        <v>0</v>
      </c>
    </row>
    <row r="30" spans="1:6" s="41" customFormat="1" ht="12" customHeight="1" thickBot="1" x14ac:dyDescent="0.25">
      <c r="A30" s="207" t="s">
        <v>134</v>
      </c>
      <c r="B30" s="193" t="s">
        <v>205</v>
      </c>
      <c r="C30" s="1030">
        <v>127479073</v>
      </c>
      <c r="D30" s="384">
        <f>'9.1.1. sz. mell. '!C30+'9.1.2. sz. mell.'!C30</f>
        <v>127479073</v>
      </c>
      <c r="E30" s="386">
        <f t="shared" si="0"/>
        <v>0</v>
      </c>
      <c r="F30" s="383">
        <f t="shared" si="1"/>
        <v>0</v>
      </c>
    </row>
    <row r="31" spans="1:6" s="41" customFormat="1" ht="12" customHeight="1" thickBot="1" x14ac:dyDescent="0.25">
      <c r="A31" s="208" t="s">
        <v>135</v>
      </c>
      <c r="B31" s="194" t="s">
        <v>206</v>
      </c>
      <c r="C31" s="1031">
        <f>21590900+1499571+3482179+806423</f>
        <v>27379073</v>
      </c>
      <c r="D31" s="384">
        <f>'9.1.1. sz. mell. '!C31+'9.1.2. sz. mell.'!C31</f>
        <v>27379073</v>
      </c>
      <c r="E31" s="387">
        <f t="shared" si="0"/>
        <v>0</v>
      </c>
      <c r="F31" s="383">
        <f t="shared" si="1"/>
        <v>0</v>
      </c>
    </row>
    <row r="32" spans="1:6" s="41" customFormat="1" ht="12" customHeight="1" thickBot="1" x14ac:dyDescent="0.25">
      <c r="A32" s="25" t="s">
        <v>136</v>
      </c>
      <c r="B32" s="18" t="s">
        <v>207</v>
      </c>
      <c r="C32" s="279">
        <f>+C33++C37+C38</f>
        <v>398600000</v>
      </c>
      <c r="D32" s="384">
        <f>'9.1.1. sz. mell. '!C32+'9.1.2. sz. mell.'!C32</f>
        <v>398600000</v>
      </c>
      <c r="E32" s="384">
        <f t="shared" si="0"/>
        <v>0</v>
      </c>
      <c r="F32" s="383">
        <f t="shared" si="1"/>
        <v>0</v>
      </c>
    </row>
    <row r="33" spans="1:6" s="41" customFormat="1" ht="12" customHeight="1" thickBot="1" x14ac:dyDescent="0.25">
      <c r="A33" s="206" t="s">
        <v>208</v>
      </c>
      <c r="B33" s="192" t="s">
        <v>626</v>
      </c>
      <c r="C33" s="293">
        <f>SUM(C34:C35)</f>
        <v>385080000</v>
      </c>
      <c r="D33" s="384">
        <f>'9.1.1. sz. mell. '!C33+'9.1.2. sz. mell.'!C33</f>
        <v>385080000</v>
      </c>
      <c r="E33" s="385">
        <f t="shared" si="0"/>
        <v>0</v>
      </c>
      <c r="F33" s="383">
        <f t="shared" si="1"/>
        <v>0</v>
      </c>
    </row>
    <row r="34" spans="1:6" s="41" customFormat="1" ht="12" customHeight="1" thickBot="1" x14ac:dyDescent="0.25">
      <c r="A34" s="207" t="s">
        <v>209</v>
      </c>
      <c r="B34" s="193" t="s">
        <v>214</v>
      </c>
      <c r="C34" s="105">
        <v>88280000</v>
      </c>
      <c r="D34" s="384">
        <f>'9.1.1. sz. mell. '!C34+'9.1.2. sz. mell.'!C34</f>
        <v>88280000</v>
      </c>
      <c r="E34" s="386">
        <f t="shared" si="0"/>
        <v>0</v>
      </c>
      <c r="F34" s="383">
        <f t="shared" si="1"/>
        <v>0</v>
      </c>
    </row>
    <row r="35" spans="1:6" s="41" customFormat="1" ht="12" customHeight="1" thickBot="1" x14ac:dyDescent="0.25">
      <c r="A35" s="207" t="s">
        <v>210</v>
      </c>
      <c r="B35" s="250" t="s">
        <v>625</v>
      </c>
      <c r="C35" s="105">
        <v>296800000</v>
      </c>
      <c r="D35" s="384">
        <f>'9.1.1. sz. mell. '!C35+'9.1.2. sz. mell.'!C35</f>
        <v>296800000</v>
      </c>
      <c r="E35" s="386">
        <f t="shared" si="0"/>
        <v>0</v>
      </c>
      <c r="F35" s="383">
        <f t="shared" si="1"/>
        <v>0</v>
      </c>
    </row>
    <row r="36" spans="1:6" s="41" customFormat="1" ht="12" customHeight="1" thickBot="1" x14ac:dyDescent="0.25">
      <c r="A36" s="207" t="s">
        <v>211</v>
      </c>
      <c r="B36" s="193" t="s">
        <v>523</v>
      </c>
      <c r="C36" s="1030"/>
      <c r="D36" s="384">
        <f>'9.1.1. sz. mell. '!C36+'9.1.2. sz. mell.'!C36</f>
        <v>0</v>
      </c>
      <c r="E36" s="386">
        <f t="shared" si="0"/>
        <v>0</v>
      </c>
      <c r="F36" s="383">
        <f t="shared" si="1"/>
        <v>0</v>
      </c>
    </row>
    <row r="37" spans="1:6" s="41" customFormat="1" ht="12" customHeight="1" thickBot="1" x14ac:dyDescent="0.25">
      <c r="A37" s="207" t="s">
        <v>212</v>
      </c>
      <c r="B37" s="193" t="s">
        <v>216</v>
      </c>
      <c r="C37" s="105"/>
      <c r="D37" s="384">
        <f>'9.1.1. sz. mell. '!C37+'9.1.2. sz. mell.'!C37</f>
        <v>0</v>
      </c>
      <c r="E37" s="386">
        <f t="shared" si="0"/>
        <v>0</v>
      </c>
      <c r="F37" s="383">
        <f t="shared" si="1"/>
        <v>0</v>
      </c>
    </row>
    <row r="38" spans="1:6" s="41" customFormat="1" ht="12" customHeight="1" thickBot="1" x14ac:dyDescent="0.25">
      <c r="A38" s="208" t="s">
        <v>213</v>
      </c>
      <c r="B38" s="194" t="s">
        <v>217</v>
      </c>
      <c r="C38" s="1031">
        <v>13520000</v>
      </c>
      <c r="D38" s="384">
        <f>'9.1.1. sz. mell. '!C38+'9.1.2. sz. mell.'!C38</f>
        <v>13520000</v>
      </c>
      <c r="E38" s="387">
        <f t="shared" si="0"/>
        <v>0</v>
      </c>
      <c r="F38" s="383">
        <f t="shared" si="1"/>
        <v>0</v>
      </c>
    </row>
    <row r="39" spans="1:6" s="41" customFormat="1" ht="12" customHeight="1" thickBot="1" x14ac:dyDescent="0.25">
      <c r="A39" s="25" t="s">
        <v>23</v>
      </c>
      <c r="B39" s="18" t="s">
        <v>439</v>
      </c>
      <c r="C39" s="276">
        <f>SUM(C40:C50)</f>
        <v>66120065</v>
      </c>
      <c r="D39" s="384">
        <f>'9.1.1. sz. mell. '!C39+'9.1.2. sz. mell.'!C39</f>
        <v>66120065</v>
      </c>
      <c r="E39" s="384">
        <f t="shared" si="0"/>
        <v>0</v>
      </c>
      <c r="F39" s="383">
        <f t="shared" si="1"/>
        <v>0</v>
      </c>
    </row>
    <row r="40" spans="1:6" s="41" customFormat="1" ht="12" customHeight="1" thickBot="1" x14ac:dyDescent="0.25">
      <c r="A40" s="206" t="s">
        <v>90</v>
      </c>
      <c r="B40" s="192" t="s">
        <v>220</v>
      </c>
      <c r="C40" s="1032"/>
      <c r="D40" s="384">
        <f>'9.1.1. sz. mell. '!C40+'9.1.2. sz. mell.'!C40</f>
        <v>0</v>
      </c>
      <c r="E40" s="385">
        <f t="shared" si="0"/>
        <v>0</v>
      </c>
      <c r="F40" s="383">
        <f t="shared" si="1"/>
        <v>0</v>
      </c>
    </row>
    <row r="41" spans="1:6" s="41" customFormat="1" ht="12" customHeight="1" thickBot="1" x14ac:dyDescent="0.25">
      <c r="A41" s="207" t="s">
        <v>91</v>
      </c>
      <c r="B41" s="193" t="s">
        <v>221</v>
      </c>
      <c r="C41" s="1030">
        <v>16336984</v>
      </c>
      <c r="D41" s="384">
        <f>'9.1.1. sz. mell. '!C41+'9.1.2. sz. mell.'!C41</f>
        <v>16336984</v>
      </c>
      <c r="E41" s="386">
        <f t="shared" si="0"/>
        <v>0</v>
      </c>
      <c r="F41" s="383">
        <f t="shared" si="1"/>
        <v>0</v>
      </c>
    </row>
    <row r="42" spans="1:6" s="41" customFormat="1" ht="12" customHeight="1" thickBot="1" x14ac:dyDescent="0.25">
      <c r="A42" s="207" t="s">
        <v>92</v>
      </c>
      <c r="B42" s="193" t="s">
        <v>222</v>
      </c>
      <c r="C42" s="1030">
        <v>9686744</v>
      </c>
      <c r="D42" s="384">
        <f>'9.1.1. sz. mell. '!C42+'9.1.2. sz. mell.'!C42</f>
        <v>9686744</v>
      </c>
      <c r="E42" s="386">
        <f t="shared" si="0"/>
        <v>0</v>
      </c>
      <c r="F42" s="383">
        <f t="shared" si="1"/>
        <v>0</v>
      </c>
    </row>
    <row r="43" spans="1:6" s="41" customFormat="1" ht="12" customHeight="1" thickBot="1" x14ac:dyDescent="0.25">
      <c r="A43" s="207" t="s">
        <v>138</v>
      </c>
      <c r="B43" s="193" t="s">
        <v>223</v>
      </c>
      <c r="C43" s="1030">
        <v>3743473</v>
      </c>
      <c r="D43" s="384">
        <f>'9.1.1. sz. mell. '!C43+'9.1.2. sz. mell.'!C43</f>
        <v>3743473</v>
      </c>
      <c r="E43" s="386">
        <f t="shared" si="0"/>
        <v>0</v>
      </c>
      <c r="F43" s="383">
        <f t="shared" si="1"/>
        <v>0</v>
      </c>
    </row>
    <row r="44" spans="1:6" s="41" customFormat="1" ht="12" customHeight="1" thickBot="1" x14ac:dyDescent="0.25">
      <c r="A44" s="207" t="s">
        <v>139</v>
      </c>
      <c r="B44" s="193" t="s">
        <v>224</v>
      </c>
      <c r="C44" s="1030"/>
      <c r="D44" s="384">
        <f>'9.1.1. sz. mell. '!C44+'9.1.2. sz. mell.'!C44</f>
        <v>0</v>
      </c>
      <c r="E44" s="386">
        <f t="shared" si="0"/>
        <v>0</v>
      </c>
      <c r="F44" s="383">
        <f t="shared" si="1"/>
        <v>0</v>
      </c>
    </row>
    <row r="45" spans="1:6" s="41" customFormat="1" ht="12" customHeight="1" thickBot="1" x14ac:dyDescent="0.25">
      <c r="A45" s="207" t="s">
        <v>140</v>
      </c>
      <c r="B45" s="193" t="s">
        <v>225</v>
      </c>
      <c r="C45" s="1030">
        <v>8308287</v>
      </c>
      <c r="D45" s="384">
        <f>'9.1.1. sz. mell. '!C45+'9.1.2. sz. mell.'!C45</f>
        <v>8308287</v>
      </c>
      <c r="E45" s="386">
        <f t="shared" si="0"/>
        <v>0</v>
      </c>
      <c r="F45" s="383">
        <f t="shared" si="1"/>
        <v>0</v>
      </c>
    </row>
    <row r="46" spans="1:6" s="41" customFormat="1" ht="12" customHeight="1" thickBot="1" x14ac:dyDescent="0.25">
      <c r="A46" s="207" t="s">
        <v>141</v>
      </c>
      <c r="B46" s="193" t="s">
        <v>226</v>
      </c>
      <c r="C46" s="1030">
        <v>25525800</v>
      </c>
      <c r="D46" s="384">
        <f>'9.1.1. sz. mell. '!C46+'9.1.2. sz. mell.'!C46</f>
        <v>25525800</v>
      </c>
      <c r="E46" s="386">
        <f t="shared" si="0"/>
        <v>0</v>
      </c>
      <c r="F46" s="383">
        <f t="shared" si="1"/>
        <v>0</v>
      </c>
    </row>
    <row r="47" spans="1:6" s="41" customFormat="1" ht="12" customHeight="1" thickBot="1" x14ac:dyDescent="0.25">
      <c r="A47" s="207" t="s">
        <v>142</v>
      </c>
      <c r="B47" s="193" t="s">
        <v>227</v>
      </c>
      <c r="C47" s="1030"/>
      <c r="D47" s="384">
        <f>'9.1.1. sz. mell. '!C47+'9.1.2. sz. mell.'!C47</f>
        <v>0</v>
      </c>
      <c r="E47" s="386">
        <f t="shared" si="0"/>
        <v>0</v>
      </c>
      <c r="F47" s="383">
        <f t="shared" si="1"/>
        <v>0</v>
      </c>
    </row>
    <row r="48" spans="1:6" s="41" customFormat="1" ht="12" customHeight="1" thickBot="1" x14ac:dyDescent="0.25">
      <c r="A48" s="207" t="s">
        <v>218</v>
      </c>
      <c r="B48" s="193" t="s">
        <v>228</v>
      </c>
      <c r="C48" s="1030"/>
      <c r="D48" s="384">
        <f>'9.1.1. sz. mell. '!C48+'9.1.2. sz. mell.'!C48</f>
        <v>0</v>
      </c>
      <c r="E48" s="386">
        <f t="shared" si="0"/>
        <v>0</v>
      </c>
      <c r="F48" s="383">
        <f t="shared" si="1"/>
        <v>0</v>
      </c>
    </row>
    <row r="49" spans="1:6" s="41" customFormat="1" ht="12" customHeight="1" thickBot="1" x14ac:dyDescent="0.25">
      <c r="A49" s="208" t="s">
        <v>219</v>
      </c>
      <c r="B49" s="194" t="s">
        <v>440</v>
      </c>
      <c r="C49" s="1031">
        <v>1000000</v>
      </c>
      <c r="D49" s="384">
        <f>'9.1.1. sz. mell. '!C49+'9.1.2. sz. mell.'!C49</f>
        <v>1000000</v>
      </c>
      <c r="E49" s="386">
        <f t="shared" si="0"/>
        <v>0</v>
      </c>
      <c r="F49" s="383">
        <f t="shared" si="1"/>
        <v>0</v>
      </c>
    </row>
    <row r="50" spans="1:6" s="41" customFormat="1" ht="12" customHeight="1" thickBot="1" x14ac:dyDescent="0.25">
      <c r="A50" s="208" t="s">
        <v>441</v>
      </c>
      <c r="B50" s="194" t="s">
        <v>229</v>
      </c>
      <c r="C50" s="1031">
        <f>1514062+4715</f>
        <v>1518777</v>
      </c>
      <c r="D50" s="384">
        <f>'9.1.1. sz. mell. '!C50+'9.1.2. sz. mell.'!C50</f>
        <v>1518777</v>
      </c>
      <c r="E50" s="387">
        <f t="shared" si="0"/>
        <v>0</v>
      </c>
      <c r="F50" s="383">
        <f t="shared" si="1"/>
        <v>0</v>
      </c>
    </row>
    <row r="51" spans="1:6" s="41" customFormat="1" ht="12" customHeight="1" thickBot="1" x14ac:dyDescent="0.25">
      <c r="A51" s="25" t="s">
        <v>24</v>
      </c>
      <c r="B51" s="18" t="s">
        <v>230</v>
      </c>
      <c r="C51" s="276">
        <f>SUM(C52:C56)</f>
        <v>63000000</v>
      </c>
      <c r="D51" s="384">
        <f>'9.1.1. sz. mell. '!C51+'9.1.2. sz. mell.'!C51</f>
        <v>63000000</v>
      </c>
      <c r="E51" s="384">
        <f t="shared" si="0"/>
        <v>0</v>
      </c>
      <c r="F51" s="383">
        <f t="shared" si="1"/>
        <v>0</v>
      </c>
    </row>
    <row r="52" spans="1:6" s="41" customFormat="1" ht="12" customHeight="1" thickBot="1" x14ac:dyDescent="0.25">
      <c r="A52" s="206" t="s">
        <v>93</v>
      </c>
      <c r="B52" s="192" t="s">
        <v>234</v>
      </c>
      <c r="C52" s="1032"/>
      <c r="D52" s="384">
        <f>'9.1.1. sz. mell. '!C52+'9.1.2. sz. mell.'!C52</f>
        <v>0</v>
      </c>
      <c r="E52" s="385">
        <f t="shared" si="0"/>
        <v>0</v>
      </c>
      <c r="F52" s="383">
        <f t="shared" si="1"/>
        <v>0</v>
      </c>
    </row>
    <row r="53" spans="1:6" s="41" customFormat="1" ht="12" customHeight="1" thickBot="1" x14ac:dyDescent="0.25">
      <c r="A53" s="207" t="s">
        <v>94</v>
      </c>
      <c r="B53" s="193" t="s">
        <v>235</v>
      </c>
      <c r="C53" s="1030">
        <v>63000000</v>
      </c>
      <c r="D53" s="384">
        <f>'9.1.1. sz. mell. '!C53+'9.1.2. sz. mell.'!C53</f>
        <v>63000000</v>
      </c>
      <c r="E53" s="386">
        <f t="shared" si="0"/>
        <v>0</v>
      </c>
      <c r="F53" s="383">
        <f t="shared" si="1"/>
        <v>0</v>
      </c>
    </row>
    <row r="54" spans="1:6" s="41" customFormat="1" ht="12" customHeight="1" thickBot="1" x14ac:dyDescent="0.25">
      <c r="A54" s="207" t="s">
        <v>231</v>
      </c>
      <c r="B54" s="193" t="s">
        <v>236</v>
      </c>
      <c r="C54" s="1030"/>
      <c r="D54" s="384">
        <f>'9.1.1. sz. mell. '!C54+'9.1.2. sz. mell.'!C54</f>
        <v>0</v>
      </c>
      <c r="E54" s="386">
        <f t="shared" si="0"/>
        <v>0</v>
      </c>
      <c r="F54" s="383">
        <f t="shared" si="1"/>
        <v>0</v>
      </c>
    </row>
    <row r="55" spans="1:6" s="41" customFormat="1" ht="12" customHeight="1" thickBot="1" x14ac:dyDescent="0.25">
      <c r="A55" s="207" t="s">
        <v>232</v>
      </c>
      <c r="B55" s="193" t="s">
        <v>237</v>
      </c>
      <c r="C55" s="1030"/>
      <c r="D55" s="384">
        <f>'9.1.1. sz. mell. '!C55+'9.1.2. sz. mell.'!C55</f>
        <v>0</v>
      </c>
      <c r="E55" s="386">
        <f t="shared" si="0"/>
        <v>0</v>
      </c>
      <c r="F55" s="383">
        <f t="shared" si="1"/>
        <v>0</v>
      </c>
    </row>
    <row r="56" spans="1:6" s="41" customFormat="1" ht="12" customHeight="1" thickBot="1" x14ac:dyDescent="0.25">
      <c r="A56" s="208" t="s">
        <v>233</v>
      </c>
      <c r="B56" s="194" t="s">
        <v>238</v>
      </c>
      <c r="C56" s="1031"/>
      <c r="D56" s="384">
        <f>'9.1.1. sz. mell. '!C56+'9.1.2. sz. mell.'!C56</f>
        <v>0</v>
      </c>
      <c r="E56" s="387">
        <f t="shared" si="0"/>
        <v>0</v>
      </c>
      <c r="F56" s="383">
        <f t="shared" si="1"/>
        <v>0</v>
      </c>
    </row>
    <row r="57" spans="1:6" s="41" customFormat="1" ht="12" customHeight="1" thickBot="1" x14ac:dyDescent="0.25">
      <c r="A57" s="25" t="s">
        <v>143</v>
      </c>
      <c r="B57" s="18" t="s">
        <v>239</v>
      </c>
      <c r="C57" s="276">
        <f>SUM(C58:C60)</f>
        <v>1200000</v>
      </c>
      <c r="D57" s="384">
        <f>'9.1.1. sz. mell. '!C57+'9.1.2. sz. mell.'!C57</f>
        <v>1200000</v>
      </c>
      <c r="E57" s="384">
        <f t="shared" si="0"/>
        <v>0</v>
      </c>
      <c r="F57" s="383">
        <f t="shared" si="1"/>
        <v>0</v>
      </c>
    </row>
    <row r="58" spans="1:6" s="41" customFormat="1" ht="12" customHeight="1" thickBot="1" x14ac:dyDescent="0.25">
      <c r="A58" s="206" t="s">
        <v>95</v>
      </c>
      <c r="B58" s="192" t="s">
        <v>240</v>
      </c>
      <c r="C58" s="278"/>
      <c r="D58" s="384">
        <f>'9.1.1. sz. mell. '!C58+'9.1.2. sz. mell.'!C58</f>
        <v>0</v>
      </c>
      <c r="E58" s="385">
        <f t="shared" si="0"/>
        <v>0</v>
      </c>
      <c r="F58" s="383">
        <f t="shared" si="1"/>
        <v>0</v>
      </c>
    </row>
    <row r="59" spans="1:6" s="41" customFormat="1" ht="12" customHeight="1" thickBot="1" x14ac:dyDescent="0.25">
      <c r="A59" s="207" t="s">
        <v>96</v>
      </c>
      <c r="B59" s="193" t="s">
        <v>371</v>
      </c>
      <c r="C59" s="1030">
        <v>200000</v>
      </c>
      <c r="D59" s="384">
        <f>'9.1.1. sz. mell. '!C59+'9.1.2. sz. mell.'!C59</f>
        <v>200000</v>
      </c>
      <c r="E59" s="386">
        <f t="shared" si="0"/>
        <v>0</v>
      </c>
      <c r="F59" s="383">
        <f t="shared" si="1"/>
        <v>0</v>
      </c>
    </row>
    <row r="60" spans="1:6" s="41" customFormat="1" ht="12" customHeight="1" thickBot="1" x14ac:dyDescent="0.25">
      <c r="A60" s="207" t="s">
        <v>243</v>
      </c>
      <c r="B60" s="193" t="s">
        <v>241</v>
      </c>
      <c r="C60" s="1030">
        <v>1000000</v>
      </c>
      <c r="D60" s="384">
        <f>'9.1.1. sz. mell. '!C60+'9.1.2. sz. mell.'!C60</f>
        <v>1000000</v>
      </c>
      <c r="E60" s="386">
        <f t="shared" si="0"/>
        <v>0</v>
      </c>
      <c r="F60" s="383">
        <f t="shared" si="1"/>
        <v>0</v>
      </c>
    </row>
    <row r="61" spans="1:6" s="41" customFormat="1" ht="12" customHeight="1" thickBot="1" x14ac:dyDescent="0.25">
      <c r="A61" s="208" t="s">
        <v>244</v>
      </c>
      <c r="B61" s="194" t="s">
        <v>242</v>
      </c>
      <c r="C61" s="106"/>
      <c r="D61" s="384">
        <f>'9.1.1. sz. mell. '!C61+'9.1.2. sz. mell.'!C61</f>
        <v>0</v>
      </c>
      <c r="E61" s="387">
        <f t="shared" si="0"/>
        <v>0</v>
      </c>
      <c r="F61" s="383">
        <f t="shared" si="1"/>
        <v>0</v>
      </c>
    </row>
    <row r="62" spans="1:6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  <c r="D62" s="384">
        <f>'9.1.1. sz. mell. '!C62+'9.1.2. sz. mell.'!C62</f>
        <v>0</v>
      </c>
      <c r="E62" s="384">
        <f t="shared" si="0"/>
        <v>0</v>
      </c>
      <c r="F62" s="383">
        <f t="shared" si="1"/>
        <v>0</v>
      </c>
    </row>
    <row r="63" spans="1:6" s="41" customFormat="1" ht="12" customHeight="1" thickBot="1" x14ac:dyDescent="0.25">
      <c r="A63" s="206" t="s">
        <v>144</v>
      </c>
      <c r="B63" s="192" t="s">
        <v>247</v>
      </c>
      <c r="C63" s="1030"/>
      <c r="D63" s="384">
        <f>'9.1.1. sz. mell. '!C63+'9.1.2. sz. mell.'!C63</f>
        <v>0</v>
      </c>
      <c r="E63" s="385">
        <f t="shared" si="0"/>
        <v>0</v>
      </c>
      <c r="F63" s="383">
        <f t="shared" si="1"/>
        <v>0</v>
      </c>
    </row>
    <row r="64" spans="1:6" s="41" customFormat="1" ht="12" customHeight="1" thickBot="1" x14ac:dyDescent="0.25">
      <c r="A64" s="207" t="s">
        <v>145</v>
      </c>
      <c r="B64" s="193" t="s">
        <v>372</v>
      </c>
      <c r="C64" s="1030"/>
      <c r="D64" s="384">
        <f>'9.1.1. sz. mell. '!C64+'9.1.2. sz. mell.'!C64</f>
        <v>0</v>
      </c>
      <c r="E64" s="386">
        <f t="shared" si="0"/>
        <v>0</v>
      </c>
      <c r="F64" s="383">
        <f t="shared" si="1"/>
        <v>0</v>
      </c>
    </row>
    <row r="65" spans="1:6" s="41" customFormat="1" ht="12" customHeight="1" thickBot="1" x14ac:dyDescent="0.25">
      <c r="A65" s="207" t="s">
        <v>171</v>
      </c>
      <c r="B65" s="193" t="s">
        <v>248</v>
      </c>
      <c r="C65" s="1030"/>
      <c r="D65" s="384">
        <f>'9.1.1. sz. mell. '!C65+'9.1.2. sz. mell.'!C65</f>
        <v>0</v>
      </c>
      <c r="E65" s="386">
        <f t="shared" si="0"/>
        <v>0</v>
      </c>
      <c r="F65" s="383">
        <f t="shared" si="1"/>
        <v>0</v>
      </c>
    </row>
    <row r="66" spans="1:6" s="41" customFormat="1" ht="12" customHeight="1" thickBot="1" x14ac:dyDescent="0.25">
      <c r="A66" s="208" t="s">
        <v>246</v>
      </c>
      <c r="B66" s="194" t="s">
        <v>249</v>
      </c>
      <c r="C66" s="1030"/>
      <c r="D66" s="384">
        <f>'9.1.1. sz. mell. '!C66+'9.1.2. sz. mell.'!C66</f>
        <v>0</v>
      </c>
      <c r="E66" s="387">
        <f t="shared" si="0"/>
        <v>0</v>
      </c>
      <c r="F66" s="383">
        <f t="shared" si="1"/>
        <v>0</v>
      </c>
    </row>
    <row r="67" spans="1:6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2498930226</v>
      </c>
      <c r="D67" s="384">
        <f>'9.1.1. sz. mell. '!C67+'9.1.2. sz. mell.'!C67</f>
        <v>2498930226</v>
      </c>
      <c r="E67" s="384">
        <f t="shared" si="0"/>
        <v>0</v>
      </c>
      <c r="F67" s="383">
        <f t="shared" si="1"/>
        <v>0</v>
      </c>
    </row>
    <row r="68" spans="1:6" s="41" customFormat="1" ht="12" customHeight="1" thickBot="1" x14ac:dyDescent="0.2">
      <c r="A68" s="209" t="s">
        <v>340</v>
      </c>
      <c r="B68" s="111" t="s">
        <v>252</v>
      </c>
      <c r="C68" s="276">
        <f>SUM(C69:C71)</f>
        <v>868562529</v>
      </c>
      <c r="D68" s="384">
        <f>'9.1.1. sz. mell. '!C68+'9.1.2. sz. mell.'!C68</f>
        <v>868562529</v>
      </c>
      <c r="E68" s="384">
        <f t="shared" si="0"/>
        <v>0</v>
      </c>
      <c r="F68" s="383">
        <f t="shared" si="1"/>
        <v>0</v>
      </c>
    </row>
    <row r="69" spans="1:6" s="41" customFormat="1" ht="12" customHeight="1" thickBot="1" x14ac:dyDescent="0.25">
      <c r="A69" s="206" t="s">
        <v>283</v>
      </c>
      <c r="B69" s="192" t="s">
        <v>253</v>
      </c>
      <c r="C69" s="1030">
        <f>11503705+7058824</f>
        <v>18562529</v>
      </c>
      <c r="D69" s="384">
        <f>'9.1.1. sz. mell. '!C69+'9.1.2. sz. mell.'!C69</f>
        <v>18562529</v>
      </c>
      <c r="E69" s="385">
        <f t="shared" si="0"/>
        <v>0</v>
      </c>
      <c r="F69" s="383">
        <f t="shared" si="1"/>
        <v>0</v>
      </c>
    </row>
    <row r="70" spans="1:6" s="41" customFormat="1" ht="12" customHeight="1" thickBot="1" x14ac:dyDescent="0.25">
      <c r="A70" s="207" t="s">
        <v>292</v>
      </c>
      <c r="B70" s="193" t="s">
        <v>254</v>
      </c>
      <c r="C70" s="1030">
        <v>850000000</v>
      </c>
      <c r="D70" s="384">
        <f>'9.1.1. sz. mell. '!C70+'9.1.2. sz. mell.'!C70</f>
        <v>850000000</v>
      </c>
      <c r="E70" s="386">
        <f t="shared" si="0"/>
        <v>0</v>
      </c>
      <c r="F70" s="383">
        <f t="shared" si="1"/>
        <v>0</v>
      </c>
    </row>
    <row r="71" spans="1:6" s="41" customFormat="1" ht="12" customHeight="1" thickBot="1" x14ac:dyDescent="0.25">
      <c r="A71" s="208" t="s">
        <v>293</v>
      </c>
      <c r="B71" s="195" t="s">
        <v>255</v>
      </c>
      <c r="C71" s="1030"/>
      <c r="D71" s="384">
        <f>'9.1.1. sz. mell. '!C71+'9.1.2. sz. mell.'!C71</f>
        <v>0</v>
      </c>
      <c r="E71" s="387">
        <f t="shared" si="0"/>
        <v>0</v>
      </c>
      <c r="F71" s="383">
        <f t="shared" si="1"/>
        <v>0</v>
      </c>
    </row>
    <row r="72" spans="1:6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  <c r="D72" s="384">
        <f>'9.1.1. sz. mell. '!C72+'9.1.2. sz. mell.'!C72</f>
        <v>0</v>
      </c>
      <c r="E72" s="384">
        <f t="shared" si="0"/>
        <v>0</v>
      </c>
      <c r="F72" s="383">
        <f t="shared" si="1"/>
        <v>0</v>
      </c>
    </row>
    <row r="73" spans="1:6" s="41" customFormat="1" ht="12" customHeight="1" thickBot="1" x14ac:dyDescent="0.25">
      <c r="A73" s="206" t="s">
        <v>124</v>
      </c>
      <c r="B73" s="192" t="s">
        <v>258</v>
      </c>
      <c r="C73" s="1030"/>
      <c r="D73" s="384">
        <f>'9.1.1. sz. mell. '!C73+'9.1.2. sz. mell.'!C73</f>
        <v>0</v>
      </c>
      <c r="E73" s="385">
        <f t="shared" si="0"/>
        <v>0</v>
      </c>
      <c r="F73" s="383">
        <f t="shared" si="1"/>
        <v>0</v>
      </c>
    </row>
    <row r="74" spans="1:6" s="41" customFormat="1" ht="12" customHeight="1" thickBot="1" x14ac:dyDescent="0.25">
      <c r="A74" s="207" t="s">
        <v>125</v>
      </c>
      <c r="B74" s="193" t="s">
        <v>259</v>
      </c>
      <c r="C74" s="1030"/>
      <c r="D74" s="384">
        <f>'9.1.1. sz. mell. '!C74+'9.1.2. sz. mell.'!C74</f>
        <v>0</v>
      </c>
      <c r="E74" s="386">
        <f t="shared" ref="E74:E92" si="2">C74-D74</f>
        <v>0</v>
      </c>
      <c r="F74" s="383">
        <f t="shared" si="1"/>
        <v>0</v>
      </c>
    </row>
    <row r="75" spans="1:6" s="41" customFormat="1" ht="12" customHeight="1" thickBot="1" x14ac:dyDescent="0.25">
      <c r="A75" s="207" t="s">
        <v>284</v>
      </c>
      <c r="B75" s="193" t="s">
        <v>260</v>
      </c>
      <c r="C75" s="1030"/>
      <c r="D75" s="384">
        <f>'9.1.1. sz. mell. '!C75+'9.1.2. sz. mell.'!C75</f>
        <v>0</v>
      </c>
      <c r="E75" s="386">
        <f t="shared" si="2"/>
        <v>0</v>
      </c>
      <c r="F75" s="383">
        <f t="shared" ref="F75:F138" si="3">C75-D75</f>
        <v>0</v>
      </c>
    </row>
    <row r="76" spans="1:6" s="41" customFormat="1" ht="12" customHeight="1" thickBot="1" x14ac:dyDescent="0.25">
      <c r="A76" s="208" t="s">
        <v>285</v>
      </c>
      <c r="B76" s="194" t="s">
        <v>261</v>
      </c>
      <c r="C76" s="1030"/>
      <c r="D76" s="384">
        <f>'9.1.1. sz. mell. '!C76+'9.1.2. sz. mell.'!C76</f>
        <v>0</v>
      </c>
      <c r="E76" s="387">
        <f t="shared" si="2"/>
        <v>0</v>
      </c>
      <c r="F76" s="383">
        <f t="shared" si="3"/>
        <v>0</v>
      </c>
    </row>
    <row r="77" spans="1:6" s="41" customFormat="1" ht="12" customHeight="1" thickBot="1" x14ac:dyDescent="0.2">
      <c r="A77" s="209" t="s">
        <v>262</v>
      </c>
      <c r="B77" s="111" t="s">
        <v>263</v>
      </c>
      <c r="C77" s="276">
        <f>SUM(C78:C79)</f>
        <v>847491815</v>
      </c>
      <c r="D77" s="384">
        <f>'9.1.1. sz. mell. '!C77+'9.1.2. sz. mell.'!C77</f>
        <v>847491815</v>
      </c>
      <c r="E77" s="384">
        <f t="shared" si="2"/>
        <v>0</v>
      </c>
      <c r="F77" s="383">
        <f t="shared" si="3"/>
        <v>0</v>
      </c>
    </row>
    <row r="78" spans="1:6" s="41" customFormat="1" ht="12" customHeight="1" thickBot="1" x14ac:dyDescent="0.25">
      <c r="A78" s="206" t="s">
        <v>286</v>
      </c>
      <c r="B78" s="192" t="s">
        <v>264</v>
      </c>
      <c r="C78" s="1030">
        <v>847491815</v>
      </c>
      <c r="D78" s="384">
        <f>'9.1.1. sz. mell. '!C78+'9.1.2. sz. mell.'!C78</f>
        <v>847491815</v>
      </c>
      <c r="E78" s="385">
        <f t="shared" si="2"/>
        <v>0</v>
      </c>
      <c r="F78" s="383">
        <f t="shared" si="3"/>
        <v>0</v>
      </c>
    </row>
    <row r="79" spans="1:6" s="41" customFormat="1" ht="12" customHeight="1" thickBot="1" x14ac:dyDescent="0.25">
      <c r="A79" s="208" t="s">
        <v>287</v>
      </c>
      <c r="B79" s="194" t="s">
        <v>265</v>
      </c>
      <c r="C79" s="1030"/>
      <c r="D79" s="384">
        <f>'9.1.1. sz. mell. '!C79+'9.1.2. sz. mell.'!C79</f>
        <v>0</v>
      </c>
      <c r="E79" s="387">
        <f t="shared" si="2"/>
        <v>0</v>
      </c>
      <c r="F79" s="383">
        <f t="shared" si="3"/>
        <v>0</v>
      </c>
    </row>
    <row r="80" spans="1:6" s="40" customFormat="1" ht="12" customHeight="1" thickBot="1" x14ac:dyDescent="0.2">
      <c r="A80" s="209" t="s">
        <v>266</v>
      </c>
      <c r="B80" s="111" t="s">
        <v>267</v>
      </c>
      <c r="C80" s="276">
        <f>SUM(C81:C83)</f>
        <v>48966750</v>
      </c>
      <c r="D80" s="384">
        <f>'9.1.1. sz. mell. '!C80+'9.1.2. sz. mell.'!C80</f>
        <v>48966750</v>
      </c>
      <c r="E80" s="384">
        <f t="shared" si="2"/>
        <v>0</v>
      </c>
      <c r="F80" s="383">
        <f t="shared" si="3"/>
        <v>0</v>
      </c>
    </row>
    <row r="81" spans="1:6" s="41" customFormat="1" ht="12" customHeight="1" thickBot="1" x14ac:dyDescent="0.25">
      <c r="A81" s="206" t="s">
        <v>288</v>
      </c>
      <c r="B81" s="192" t="s">
        <v>268</v>
      </c>
      <c r="C81" s="1030">
        <v>48966750</v>
      </c>
      <c r="D81" s="384">
        <f>'9.1.1. sz. mell. '!C81+'9.1.2. sz. mell.'!C81</f>
        <v>48966750</v>
      </c>
      <c r="E81" s="385">
        <f t="shared" si="2"/>
        <v>0</v>
      </c>
      <c r="F81" s="383">
        <f t="shared" si="3"/>
        <v>0</v>
      </c>
    </row>
    <row r="82" spans="1:6" s="41" customFormat="1" ht="12" customHeight="1" thickBot="1" x14ac:dyDescent="0.25">
      <c r="A82" s="207" t="s">
        <v>289</v>
      </c>
      <c r="B82" s="193" t="s">
        <v>269</v>
      </c>
      <c r="C82" s="1030"/>
      <c r="D82" s="384">
        <f>'9.1.1. sz. mell. '!C82+'9.1.2. sz. mell.'!C82</f>
        <v>0</v>
      </c>
      <c r="E82" s="386">
        <f t="shared" si="2"/>
        <v>0</v>
      </c>
      <c r="F82" s="383">
        <f t="shared" si="3"/>
        <v>0</v>
      </c>
    </row>
    <row r="83" spans="1:6" s="41" customFormat="1" ht="12" customHeight="1" thickBot="1" x14ac:dyDescent="0.25">
      <c r="A83" s="208" t="s">
        <v>290</v>
      </c>
      <c r="B83" s="194" t="s">
        <v>270</v>
      </c>
      <c r="C83" s="1030"/>
      <c r="D83" s="384">
        <f>'9.1.1. sz. mell. '!C83+'9.1.2. sz. mell.'!C83</f>
        <v>0</v>
      </c>
      <c r="E83" s="387">
        <f t="shared" si="2"/>
        <v>0</v>
      </c>
      <c r="F83" s="383">
        <f t="shared" si="3"/>
        <v>0</v>
      </c>
    </row>
    <row r="84" spans="1:6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  <c r="D84" s="384">
        <f>'9.1.1. sz. mell. '!C84+'9.1.2. sz. mell.'!C84</f>
        <v>0</v>
      </c>
      <c r="E84" s="384">
        <f t="shared" si="2"/>
        <v>0</v>
      </c>
      <c r="F84" s="383">
        <f t="shared" si="3"/>
        <v>0</v>
      </c>
    </row>
    <row r="85" spans="1:6" s="41" customFormat="1" ht="12" customHeight="1" thickBot="1" x14ac:dyDescent="0.25">
      <c r="A85" s="210" t="s">
        <v>272</v>
      </c>
      <c r="B85" s="192" t="s">
        <v>273</v>
      </c>
      <c r="C85" s="1030"/>
      <c r="D85" s="384">
        <f>'9.1.1. sz. mell. '!C85+'9.1.2. sz. mell.'!C85</f>
        <v>0</v>
      </c>
      <c r="E85" s="385">
        <f t="shared" si="2"/>
        <v>0</v>
      </c>
      <c r="F85" s="383">
        <f t="shared" si="3"/>
        <v>0</v>
      </c>
    </row>
    <row r="86" spans="1:6" s="41" customFormat="1" ht="12" customHeight="1" thickBot="1" x14ac:dyDescent="0.25">
      <c r="A86" s="211" t="s">
        <v>274</v>
      </c>
      <c r="B86" s="193" t="s">
        <v>275</v>
      </c>
      <c r="C86" s="1030"/>
      <c r="D86" s="384">
        <f>'9.1.1. sz. mell. '!C86+'9.1.2. sz. mell.'!C86</f>
        <v>0</v>
      </c>
      <c r="E86" s="386">
        <f t="shared" si="2"/>
        <v>0</v>
      </c>
      <c r="F86" s="383">
        <f t="shared" si="3"/>
        <v>0</v>
      </c>
    </row>
    <row r="87" spans="1:6" s="41" customFormat="1" ht="12" customHeight="1" thickBot="1" x14ac:dyDescent="0.25">
      <c r="A87" s="211" t="s">
        <v>276</v>
      </c>
      <c r="B87" s="193" t="s">
        <v>277</v>
      </c>
      <c r="C87" s="1030"/>
      <c r="D87" s="384">
        <f>'9.1.1. sz. mell. '!C87+'9.1.2. sz. mell.'!C87</f>
        <v>0</v>
      </c>
      <c r="E87" s="386">
        <f t="shared" si="2"/>
        <v>0</v>
      </c>
      <c r="F87" s="383">
        <f t="shared" si="3"/>
        <v>0</v>
      </c>
    </row>
    <row r="88" spans="1:6" s="40" customFormat="1" ht="12" customHeight="1" thickBot="1" x14ac:dyDescent="0.25">
      <c r="A88" s="212" t="s">
        <v>278</v>
      </c>
      <c r="B88" s="194" t="s">
        <v>279</v>
      </c>
      <c r="C88" s="1030"/>
      <c r="D88" s="384">
        <f>'9.1.1. sz. mell. '!C88+'9.1.2. sz. mell.'!C88</f>
        <v>0</v>
      </c>
      <c r="E88" s="387">
        <f t="shared" si="2"/>
        <v>0</v>
      </c>
      <c r="F88" s="383">
        <f t="shared" si="3"/>
        <v>0</v>
      </c>
    </row>
    <row r="89" spans="1:6" s="40" customFormat="1" ht="12" customHeight="1" thickBot="1" x14ac:dyDescent="0.2">
      <c r="A89" s="209" t="s">
        <v>280</v>
      </c>
      <c r="B89" s="111" t="s">
        <v>444</v>
      </c>
      <c r="C89" s="281"/>
      <c r="D89" s="384">
        <f>'9.1.1. sz. mell. '!C89+'9.1.2. sz. mell.'!C89</f>
        <v>0</v>
      </c>
      <c r="E89" s="384">
        <f t="shared" si="2"/>
        <v>0</v>
      </c>
      <c r="F89" s="383">
        <f t="shared" si="3"/>
        <v>0</v>
      </c>
    </row>
    <row r="90" spans="1:6" s="40" customFormat="1" ht="12" customHeight="1" thickBot="1" x14ac:dyDescent="0.2">
      <c r="A90" s="209" t="s">
        <v>496</v>
      </c>
      <c r="B90" s="111" t="s">
        <v>281</v>
      </c>
      <c r="C90" s="281"/>
      <c r="D90" s="384">
        <f>'9.1.1. sz. mell. '!C90+'9.1.2. sz. mell.'!C90</f>
        <v>0</v>
      </c>
      <c r="E90" s="384">
        <f t="shared" si="2"/>
        <v>0</v>
      </c>
      <c r="F90" s="383">
        <f t="shared" si="3"/>
        <v>0</v>
      </c>
    </row>
    <row r="91" spans="1:6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1765021094</v>
      </c>
      <c r="D91" s="384">
        <f>'9.1.1. sz. mell. '!C91+'9.1.2. sz. mell.'!C91</f>
        <v>1765021094</v>
      </c>
      <c r="E91" s="384">
        <f t="shared" si="2"/>
        <v>0</v>
      </c>
      <c r="F91" s="383">
        <f t="shared" si="3"/>
        <v>0</v>
      </c>
    </row>
    <row r="92" spans="1:6" s="40" customFormat="1" ht="12" customHeight="1" thickBot="1" x14ac:dyDescent="0.2">
      <c r="A92" s="213" t="s">
        <v>498</v>
      </c>
      <c r="B92" s="200" t="s">
        <v>499</v>
      </c>
      <c r="C92" s="279">
        <f>+C67+C91</f>
        <v>4263951320</v>
      </c>
      <c r="D92" s="384">
        <f>'9.1.1. sz. mell. '!C92+'9.1.2. sz. mell.'!C92</f>
        <v>4263951320</v>
      </c>
      <c r="E92" s="384">
        <f t="shared" si="2"/>
        <v>0</v>
      </c>
      <c r="F92" s="383">
        <f t="shared" si="3"/>
        <v>0</v>
      </c>
    </row>
    <row r="93" spans="1:6" s="41" customFormat="1" ht="15" customHeight="1" thickBot="1" x14ac:dyDescent="0.25">
      <c r="A93" s="93"/>
      <c r="B93" s="94"/>
      <c r="C93" s="169"/>
      <c r="D93" s="384">
        <f>'9.1.1. sz. mell. '!C93+'9.1.2. sz. mell.'!C93</f>
        <v>0</v>
      </c>
      <c r="E93" s="912"/>
      <c r="F93" s="383">
        <f t="shared" si="3"/>
        <v>0</v>
      </c>
    </row>
    <row r="94" spans="1:6" s="32" customFormat="1" ht="16.5" customHeight="1" thickBot="1" x14ac:dyDescent="0.25">
      <c r="A94" s="97"/>
      <c r="B94" s="98" t="s">
        <v>57</v>
      </c>
      <c r="C94" s="171"/>
      <c r="D94" s="384">
        <f>'9.1.1. sz. mell. '!C94+'9.1.2. sz. mell.'!C94</f>
        <v>0</v>
      </c>
      <c r="E94" s="912"/>
      <c r="F94" s="383">
        <f t="shared" si="3"/>
        <v>0</v>
      </c>
    </row>
    <row r="95" spans="1:6" s="906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836691513</v>
      </c>
      <c r="D95" s="384">
        <f>'9.1.1. sz. mell. '!C95+'9.1.2. sz. mell.'!C95</f>
        <v>836691513</v>
      </c>
      <c r="E95" s="384">
        <f t="shared" ref="E95:E158" si="4">C95-D95</f>
        <v>0</v>
      </c>
      <c r="F95" s="383">
        <f t="shared" si="3"/>
        <v>0</v>
      </c>
    </row>
    <row r="96" spans="1:6" ht="12" customHeight="1" thickBot="1" x14ac:dyDescent="0.25">
      <c r="A96" s="214" t="s">
        <v>97</v>
      </c>
      <c r="B96" s="7" t="s">
        <v>49</v>
      </c>
      <c r="C96" s="1033">
        <v>47896992</v>
      </c>
      <c r="D96" s="384">
        <f>'9.1.1. sz. mell. '!C96+'9.1.2. sz. mell.'!C96</f>
        <v>47896992</v>
      </c>
      <c r="E96" s="385">
        <f t="shared" si="4"/>
        <v>0</v>
      </c>
      <c r="F96" s="383">
        <f t="shared" si="3"/>
        <v>0</v>
      </c>
    </row>
    <row r="97" spans="1:6" ht="12" customHeight="1" thickBot="1" x14ac:dyDescent="0.25">
      <c r="A97" s="207" t="s">
        <v>98</v>
      </c>
      <c r="B97" s="5" t="s">
        <v>146</v>
      </c>
      <c r="C97" s="1030">
        <v>8163648</v>
      </c>
      <c r="D97" s="384">
        <f>'9.1.1. sz. mell. '!C97+'9.1.2. sz. mell.'!C97</f>
        <v>8163648</v>
      </c>
      <c r="E97" s="386">
        <f t="shared" si="4"/>
        <v>0</v>
      </c>
      <c r="F97" s="383">
        <f t="shared" si="3"/>
        <v>0</v>
      </c>
    </row>
    <row r="98" spans="1:6" ht="12" customHeight="1" thickBot="1" x14ac:dyDescent="0.25">
      <c r="A98" s="207" t="s">
        <v>99</v>
      </c>
      <c r="B98" s="5" t="s">
        <v>122</v>
      </c>
      <c r="C98" s="1031">
        <f>408709299+107725</f>
        <v>408817024</v>
      </c>
      <c r="D98" s="384">
        <f>'9.1.1. sz. mell. '!C98+'9.1.2. sz. mell.'!C98</f>
        <v>408817024</v>
      </c>
      <c r="E98" s="386">
        <f t="shared" si="4"/>
        <v>0</v>
      </c>
      <c r="F98" s="383">
        <f t="shared" si="3"/>
        <v>0</v>
      </c>
    </row>
    <row r="99" spans="1:6" ht="12" customHeight="1" thickBot="1" x14ac:dyDescent="0.25">
      <c r="A99" s="207" t="s">
        <v>100</v>
      </c>
      <c r="B99" s="8" t="s">
        <v>147</v>
      </c>
      <c r="C99" s="1031">
        <v>56500000</v>
      </c>
      <c r="D99" s="384">
        <f>'9.1.1. sz. mell. '!C99+'9.1.2. sz. mell.'!C99</f>
        <v>56500000</v>
      </c>
      <c r="E99" s="386">
        <f t="shared" si="4"/>
        <v>0</v>
      </c>
      <c r="F99" s="383">
        <f t="shared" si="3"/>
        <v>0</v>
      </c>
    </row>
    <row r="100" spans="1:6" ht="12" customHeight="1" thickBot="1" x14ac:dyDescent="0.25">
      <c r="A100" s="207" t="s">
        <v>111</v>
      </c>
      <c r="B100" s="16" t="s">
        <v>148</v>
      </c>
      <c r="C100" s="1031">
        <f>SUM(C101:C112)</f>
        <v>198934698</v>
      </c>
      <c r="D100" s="384">
        <f>'9.1.1. sz. mell. '!C100+'9.1.2. sz. mell.'!C100</f>
        <v>198934698</v>
      </c>
      <c r="E100" s="386">
        <f t="shared" si="4"/>
        <v>0</v>
      </c>
      <c r="F100" s="383">
        <f>C100-D100</f>
        <v>0</v>
      </c>
    </row>
    <row r="101" spans="1:6" ht="12" customHeight="1" thickBot="1" x14ac:dyDescent="0.25">
      <c r="A101" s="207" t="s">
        <v>101</v>
      </c>
      <c r="B101" s="5" t="s">
        <v>500</v>
      </c>
      <c r="C101" s="1031">
        <v>140000</v>
      </c>
      <c r="D101" s="384">
        <f>'9.1.1. sz. mell. '!C101+'9.1.2. sz. mell.'!C101</f>
        <v>140000</v>
      </c>
      <c r="E101" s="386">
        <f t="shared" si="4"/>
        <v>0</v>
      </c>
      <c r="F101" s="383">
        <f t="shared" si="3"/>
        <v>0</v>
      </c>
    </row>
    <row r="102" spans="1:6" ht="12" customHeight="1" thickBot="1" x14ac:dyDescent="0.25">
      <c r="A102" s="207" t="s">
        <v>102</v>
      </c>
      <c r="B102" s="60" t="s">
        <v>449</v>
      </c>
      <c r="C102" s="1031"/>
      <c r="D102" s="384">
        <f>'9.1.1. sz. mell. '!C102+'9.1.2. sz. mell.'!C102</f>
        <v>0</v>
      </c>
      <c r="E102" s="386">
        <f t="shared" si="4"/>
        <v>0</v>
      </c>
      <c r="F102" s="383">
        <f t="shared" si="3"/>
        <v>0</v>
      </c>
    </row>
    <row r="103" spans="1:6" ht="12" customHeight="1" thickBot="1" x14ac:dyDescent="0.25">
      <c r="A103" s="207" t="s">
        <v>112</v>
      </c>
      <c r="B103" s="60" t="s">
        <v>450</v>
      </c>
      <c r="C103" s="1031">
        <v>24566831</v>
      </c>
      <c r="D103" s="384">
        <f>'9.1.1. sz. mell. '!C103+'9.1.2. sz. mell.'!C103</f>
        <v>24566831</v>
      </c>
      <c r="E103" s="386">
        <f t="shared" si="4"/>
        <v>0</v>
      </c>
      <c r="F103" s="383">
        <f t="shared" si="3"/>
        <v>0</v>
      </c>
    </row>
    <row r="104" spans="1:6" ht="12" customHeight="1" thickBot="1" x14ac:dyDescent="0.25">
      <c r="A104" s="207" t="s">
        <v>113</v>
      </c>
      <c r="B104" s="60" t="s">
        <v>297</v>
      </c>
      <c r="C104" s="1031"/>
      <c r="D104" s="384">
        <f>'9.1.1. sz. mell. '!C104+'9.1.2. sz. mell.'!C104</f>
        <v>0</v>
      </c>
      <c r="E104" s="386">
        <f t="shared" si="4"/>
        <v>0</v>
      </c>
      <c r="F104" s="383">
        <f t="shared" si="3"/>
        <v>0</v>
      </c>
    </row>
    <row r="105" spans="1:6" ht="12" customHeight="1" thickBot="1" x14ac:dyDescent="0.25">
      <c r="A105" s="207" t="s">
        <v>114</v>
      </c>
      <c r="B105" s="61" t="s">
        <v>298</v>
      </c>
      <c r="C105" s="1031"/>
      <c r="D105" s="384">
        <f>'9.1.1. sz. mell. '!C105+'9.1.2. sz. mell.'!C105</f>
        <v>0</v>
      </c>
      <c r="E105" s="386">
        <f t="shared" si="4"/>
        <v>0</v>
      </c>
      <c r="F105" s="383">
        <f t="shared" si="3"/>
        <v>0</v>
      </c>
    </row>
    <row r="106" spans="1:6" ht="12" customHeight="1" thickBot="1" x14ac:dyDescent="0.25">
      <c r="A106" s="207" t="s">
        <v>115</v>
      </c>
      <c r="B106" s="61" t="s">
        <v>299</v>
      </c>
      <c r="C106" s="1031"/>
      <c r="D106" s="384">
        <f>'9.1.1. sz. mell. '!C106+'9.1.2. sz. mell.'!C106</f>
        <v>0</v>
      </c>
      <c r="E106" s="386">
        <f t="shared" si="4"/>
        <v>0</v>
      </c>
      <c r="F106" s="383">
        <f t="shared" si="3"/>
        <v>0</v>
      </c>
    </row>
    <row r="107" spans="1:6" ht="12" customHeight="1" thickBot="1" x14ac:dyDescent="0.25">
      <c r="A107" s="207" t="s">
        <v>117</v>
      </c>
      <c r="B107" s="60" t="s">
        <v>300</v>
      </c>
      <c r="C107" s="1031">
        <v>636000</v>
      </c>
      <c r="D107" s="384">
        <f>'9.1.1. sz. mell. '!C107+'9.1.2. sz. mell.'!C107</f>
        <v>636000</v>
      </c>
      <c r="E107" s="386">
        <f t="shared" si="4"/>
        <v>0</v>
      </c>
      <c r="F107" s="383">
        <f t="shared" si="3"/>
        <v>0</v>
      </c>
    </row>
    <row r="108" spans="1:6" ht="12" customHeight="1" thickBot="1" x14ac:dyDescent="0.25">
      <c r="A108" s="207" t="s">
        <v>149</v>
      </c>
      <c r="B108" s="60" t="s">
        <v>301</v>
      </c>
      <c r="C108" s="1031"/>
      <c r="D108" s="384">
        <f>'9.1.1. sz. mell. '!C108+'9.1.2. sz. mell.'!C108</f>
        <v>0</v>
      </c>
      <c r="E108" s="386">
        <f t="shared" si="4"/>
        <v>0</v>
      </c>
      <c r="F108" s="383">
        <f t="shared" si="3"/>
        <v>0</v>
      </c>
    </row>
    <row r="109" spans="1:6" ht="12" customHeight="1" thickBot="1" x14ac:dyDescent="0.25">
      <c r="A109" s="207" t="s">
        <v>295</v>
      </c>
      <c r="B109" s="61" t="s">
        <v>302</v>
      </c>
      <c r="C109" s="1031"/>
      <c r="D109" s="384">
        <f>'9.1.1. sz. mell. '!C109+'9.1.2. sz. mell.'!C109</f>
        <v>0</v>
      </c>
      <c r="E109" s="386">
        <f t="shared" si="4"/>
        <v>0</v>
      </c>
      <c r="F109" s="383">
        <f t="shared" si="3"/>
        <v>0</v>
      </c>
    </row>
    <row r="110" spans="1:6" ht="12" customHeight="1" thickBot="1" x14ac:dyDescent="0.25">
      <c r="A110" s="215" t="s">
        <v>296</v>
      </c>
      <c r="B110" s="62" t="s">
        <v>303</v>
      </c>
      <c r="C110" s="1031"/>
      <c r="D110" s="384">
        <f>'9.1.1. sz. mell. '!C110+'9.1.2. sz. mell.'!C110</f>
        <v>0</v>
      </c>
      <c r="E110" s="386">
        <f t="shared" si="4"/>
        <v>0</v>
      </c>
      <c r="F110" s="383">
        <f t="shared" si="3"/>
        <v>0</v>
      </c>
    </row>
    <row r="111" spans="1:6" ht="12" customHeight="1" thickBot="1" x14ac:dyDescent="0.25">
      <c r="A111" s="207" t="s">
        <v>451</v>
      </c>
      <c r="B111" s="62" t="s">
        <v>304</v>
      </c>
      <c r="C111" s="1031"/>
      <c r="D111" s="384">
        <f>'9.1.1. sz. mell. '!C111+'9.1.2. sz. mell.'!C111</f>
        <v>0</v>
      </c>
      <c r="E111" s="386">
        <f t="shared" si="4"/>
        <v>0</v>
      </c>
      <c r="F111" s="383">
        <f t="shared" si="3"/>
        <v>0</v>
      </c>
    </row>
    <row r="112" spans="1:6" ht="12" customHeight="1" thickBot="1" x14ac:dyDescent="0.25">
      <c r="A112" s="207" t="s">
        <v>452</v>
      </c>
      <c r="B112" s="61" t="s">
        <v>305</v>
      </c>
      <c r="C112" s="1030">
        <v>173591867</v>
      </c>
      <c r="D112" s="384">
        <f>'9.1.1. sz. mell. '!C112+'9.1.2. sz. mell.'!C112</f>
        <v>173591867</v>
      </c>
      <c r="E112" s="386">
        <f t="shared" si="4"/>
        <v>0</v>
      </c>
      <c r="F112" s="383">
        <f t="shared" si="3"/>
        <v>0</v>
      </c>
    </row>
    <row r="113" spans="1:6" ht="12" customHeight="1" thickBot="1" x14ac:dyDescent="0.25">
      <c r="A113" s="207" t="s">
        <v>453</v>
      </c>
      <c r="B113" s="8" t="s">
        <v>50</v>
      </c>
      <c r="C113" s="1030">
        <f>SUM(C114:C115)</f>
        <v>116379151</v>
      </c>
      <c r="D113" s="384">
        <f>'9.1.1. sz. mell. '!C113+'9.1.2. sz. mell.'!C113</f>
        <v>116379151</v>
      </c>
      <c r="E113" s="386">
        <f t="shared" si="4"/>
        <v>0</v>
      </c>
      <c r="F113" s="383">
        <f t="shared" si="3"/>
        <v>0</v>
      </c>
    </row>
    <row r="114" spans="1:6" ht="12" customHeight="1" thickBot="1" x14ac:dyDescent="0.25">
      <c r="A114" s="208" t="s">
        <v>454</v>
      </c>
      <c r="B114" s="5" t="s">
        <v>501</v>
      </c>
      <c r="C114" s="1031">
        <v>10000000</v>
      </c>
      <c r="D114" s="384">
        <f>'9.1.1. sz. mell. '!C114+'9.1.2. sz. mell.'!C114</f>
        <v>10000000</v>
      </c>
      <c r="E114" s="386">
        <f t="shared" si="4"/>
        <v>0</v>
      </c>
      <c r="F114" s="383">
        <f t="shared" si="3"/>
        <v>0</v>
      </c>
    </row>
    <row r="115" spans="1:6" ht="12" customHeight="1" thickBot="1" x14ac:dyDescent="0.25">
      <c r="A115" s="216" t="s">
        <v>456</v>
      </c>
      <c r="B115" s="63" t="s">
        <v>502</v>
      </c>
      <c r="C115" s="295">
        <f>99315612+4715+7058824</f>
        <v>106379151</v>
      </c>
      <c r="D115" s="384">
        <f>'9.1.1. sz. mell. '!C115+'9.1.2. sz. mell.'!C115</f>
        <v>106379151</v>
      </c>
      <c r="E115" s="387">
        <f t="shared" si="4"/>
        <v>0</v>
      </c>
      <c r="F115" s="383">
        <f t="shared" si="3"/>
        <v>0</v>
      </c>
    </row>
    <row r="116" spans="1:6" ht="12" customHeight="1" thickBot="1" x14ac:dyDescent="0.25">
      <c r="A116" s="25" t="s">
        <v>20</v>
      </c>
      <c r="B116" s="22" t="s">
        <v>306</v>
      </c>
      <c r="C116" s="276">
        <f>+C117+C119+C121</f>
        <v>899252759</v>
      </c>
      <c r="D116" s="384">
        <f>'9.1.1. sz. mell. '!C116+'9.1.2. sz. mell.'!C116</f>
        <v>899252759</v>
      </c>
      <c r="E116" s="384">
        <f t="shared" si="4"/>
        <v>0</v>
      </c>
      <c r="F116" s="383">
        <f t="shared" si="3"/>
        <v>0</v>
      </c>
    </row>
    <row r="117" spans="1:6" ht="12" customHeight="1" thickBot="1" x14ac:dyDescent="0.25">
      <c r="A117" s="206" t="s">
        <v>103</v>
      </c>
      <c r="B117" s="5" t="s">
        <v>170</v>
      </c>
      <c r="C117" s="1032">
        <v>535995745</v>
      </c>
      <c r="D117" s="384">
        <f>'9.1.1. sz. mell. '!C117+'9.1.2. sz. mell.'!C117</f>
        <v>535995745</v>
      </c>
      <c r="E117" s="385">
        <f t="shared" si="4"/>
        <v>0</v>
      </c>
      <c r="F117" s="383">
        <f t="shared" si="3"/>
        <v>0</v>
      </c>
    </row>
    <row r="118" spans="1:6" ht="12" customHeight="1" thickBot="1" x14ac:dyDescent="0.25">
      <c r="A118" s="206" t="s">
        <v>104</v>
      </c>
      <c r="B118" s="9" t="s">
        <v>310</v>
      </c>
      <c r="C118" s="1032">
        <v>401925076</v>
      </c>
      <c r="D118" s="384">
        <f>'9.1.1. sz. mell. '!C118+'9.1.2. sz. mell.'!C118</f>
        <v>401925076</v>
      </c>
      <c r="E118" s="386">
        <f t="shared" si="4"/>
        <v>0</v>
      </c>
      <c r="F118" s="383">
        <f t="shared" si="3"/>
        <v>0</v>
      </c>
    </row>
    <row r="119" spans="1:6" ht="12" customHeight="1" thickBot="1" x14ac:dyDescent="0.25">
      <c r="A119" s="206" t="s">
        <v>105</v>
      </c>
      <c r="B119" s="9" t="s">
        <v>150</v>
      </c>
      <c r="C119" s="1030">
        <v>357345208</v>
      </c>
      <c r="D119" s="384">
        <f>'9.1.1. sz. mell. '!C119+'9.1.2. sz. mell.'!C119</f>
        <v>357345208</v>
      </c>
      <c r="E119" s="386">
        <f t="shared" si="4"/>
        <v>0</v>
      </c>
      <c r="F119" s="383">
        <f t="shared" si="3"/>
        <v>0</v>
      </c>
    </row>
    <row r="120" spans="1:6" ht="12" customHeight="1" thickBot="1" x14ac:dyDescent="0.25">
      <c r="A120" s="206" t="s">
        <v>106</v>
      </c>
      <c r="B120" s="9" t="s">
        <v>311</v>
      </c>
      <c r="C120" s="1030">
        <f>80032238+2424+210655116</f>
        <v>290689778</v>
      </c>
      <c r="D120" s="384">
        <f>'9.1.1. sz. mell. '!C120+'9.1.2. sz. mell.'!C120</f>
        <v>290689778</v>
      </c>
      <c r="E120" s="386">
        <f t="shared" si="4"/>
        <v>0</v>
      </c>
      <c r="F120" s="383">
        <f t="shared" si="3"/>
        <v>0</v>
      </c>
    </row>
    <row r="121" spans="1:6" ht="12" customHeight="1" thickBot="1" x14ac:dyDescent="0.25">
      <c r="A121" s="206" t="s">
        <v>107</v>
      </c>
      <c r="B121" s="113" t="s">
        <v>172</v>
      </c>
      <c r="C121" s="1030">
        <f>SUM(C122:C129)</f>
        <v>5911806</v>
      </c>
      <c r="D121" s="384">
        <f>'9.1.1. sz. mell. '!C121+'9.1.2. sz. mell.'!C121</f>
        <v>5911806</v>
      </c>
      <c r="E121" s="386">
        <f t="shared" si="4"/>
        <v>0</v>
      </c>
      <c r="F121" s="383">
        <f t="shared" si="3"/>
        <v>0</v>
      </c>
    </row>
    <row r="122" spans="1:6" ht="12" customHeight="1" thickBot="1" x14ac:dyDescent="0.25">
      <c r="A122" s="206" t="s">
        <v>116</v>
      </c>
      <c r="B122" s="112" t="s">
        <v>373</v>
      </c>
      <c r="C122" s="105"/>
      <c r="D122" s="384">
        <f>'9.1.1. sz. mell. '!C122+'9.1.2. sz. mell.'!C122</f>
        <v>0</v>
      </c>
      <c r="E122" s="386">
        <f t="shared" si="4"/>
        <v>0</v>
      </c>
      <c r="F122" s="383">
        <f t="shared" si="3"/>
        <v>0</v>
      </c>
    </row>
    <row r="123" spans="1:6" ht="12" customHeight="1" thickBot="1" x14ac:dyDescent="0.25">
      <c r="A123" s="206" t="s">
        <v>118</v>
      </c>
      <c r="B123" s="188" t="s">
        <v>316</v>
      </c>
      <c r="C123" s="105"/>
      <c r="D123" s="384">
        <f>'9.1.1. sz. mell. '!C123+'9.1.2. sz. mell.'!C123</f>
        <v>0</v>
      </c>
      <c r="E123" s="386">
        <f t="shared" si="4"/>
        <v>0</v>
      </c>
      <c r="F123" s="383">
        <f t="shared" si="3"/>
        <v>0</v>
      </c>
    </row>
    <row r="124" spans="1:6" ht="12" customHeight="1" thickBot="1" x14ac:dyDescent="0.25">
      <c r="A124" s="206" t="s">
        <v>151</v>
      </c>
      <c r="B124" s="61" t="s">
        <v>299</v>
      </c>
      <c r="C124" s="105"/>
      <c r="D124" s="384">
        <f>'9.1.1. sz. mell. '!C124+'9.1.2. sz. mell.'!C124</f>
        <v>0</v>
      </c>
      <c r="E124" s="386">
        <f t="shared" si="4"/>
        <v>0</v>
      </c>
      <c r="F124" s="383">
        <f t="shared" si="3"/>
        <v>0</v>
      </c>
    </row>
    <row r="125" spans="1:6" ht="12" customHeight="1" thickBot="1" x14ac:dyDescent="0.25">
      <c r="A125" s="206" t="s">
        <v>152</v>
      </c>
      <c r="B125" s="61" t="s">
        <v>315</v>
      </c>
      <c r="C125" s="105"/>
      <c r="D125" s="384">
        <f>'9.1.1. sz. mell. '!C125+'9.1.2. sz. mell.'!C125</f>
        <v>0</v>
      </c>
      <c r="E125" s="386">
        <f t="shared" si="4"/>
        <v>0</v>
      </c>
      <c r="F125" s="383">
        <f t="shared" si="3"/>
        <v>0</v>
      </c>
    </row>
    <row r="126" spans="1:6" ht="12" customHeight="1" thickBot="1" x14ac:dyDescent="0.25">
      <c r="A126" s="206" t="s">
        <v>153</v>
      </c>
      <c r="B126" s="61" t="s">
        <v>314</v>
      </c>
      <c r="C126" s="105"/>
      <c r="D126" s="384">
        <f>'9.1.1. sz. mell. '!C126+'9.1.2. sz. mell.'!C126</f>
        <v>0</v>
      </c>
      <c r="E126" s="386">
        <f t="shared" si="4"/>
        <v>0</v>
      </c>
      <c r="F126" s="383">
        <f t="shared" si="3"/>
        <v>0</v>
      </c>
    </row>
    <row r="127" spans="1:6" ht="12" customHeight="1" thickBot="1" x14ac:dyDescent="0.25">
      <c r="A127" s="206" t="s">
        <v>307</v>
      </c>
      <c r="B127" s="61" t="s">
        <v>302</v>
      </c>
      <c r="C127" s="105"/>
      <c r="D127" s="384">
        <f>'9.1.1. sz. mell. '!C127+'9.1.2. sz. mell.'!C127</f>
        <v>0</v>
      </c>
      <c r="E127" s="386">
        <f t="shared" si="4"/>
        <v>0</v>
      </c>
      <c r="F127" s="383">
        <f t="shared" si="3"/>
        <v>0</v>
      </c>
    </row>
    <row r="128" spans="1:6" ht="12" customHeight="1" thickBot="1" x14ac:dyDescent="0.25">
      <c r="A128" s="206" t="s">
        <v>308</v>
      </c>
      <c r="B128" s="61" t="s">
        <v>313</v>
      </c>
      <c r="C128" s="105"/>
      <c r="D128" s="384">
        <f>'9.1.1. sz. mell. '!C128+'9.1.2. sz. mell.'!C128</f>
        <v>0</v>
      </c>
      <c r="E128" s="386">
        <f t="shared" si="4"/>
        <v>0</v>
      </c>
      <c r="F128" s="383">
        <f t="shared" si="3"/>
        <v>0</v>
      </c>
    </row>
    <row r="129" spans="1:7" ht="12" customHeight="1" thickBot="1" x14ac:dyDescent="0.25">
      <c r="A129" s="215" t="s">
        <v>309</v>
      </c>
      <c r="B129" s="61" t="s">
        <v>312</v>
      </c>
      <c r="C129" s="1031">
        <v>5911806</v>
      </c>
      <c r="D129" s="384">
        <f>'9.1.1. sz. mell. '!C129+'9.1.2. sz. mell.'!C129</f>
        <v>5911806</v>
      </c>
      <c r="E129" s="387">
        <f t="shared" si="4"/>
        <v>0</v>
      </c>
      <c r="F129" s="383">
        <f t="shared" si="3"/>
        <v>0</v>
      </c>
    </row>
    <row r="130" spans="1:7" ht="12" customHeight="1" thickBot="1" x14ac:dyDescent="0.25">
      <c r="A130" s="25" t="s">
        <v>21</v>
      </c>
      <c r="B130" s="56" t="s">
        <v>458</v>
      </c>
      <c r="C130" s="276">
        <f>+C95+C116</f>
        <v>1735944272</v>
      </c>
      <c r="D130" s="384">
        <f>'9.1.1. sz. mell. '!C130+'9.1.2. sz. mell.'!C130</f>
        <v>1735944272</v>
      </c>
      <c r="E130" s="384">
        <f t="shared" si="4"/>
        <v>0</v>
      </c>
      <c r="F130" s="383">
        <f t="shared" si="3"/>
        <v>0</v>
      </c>
    </row>
    <row r="131" spans="1:7" ht="12" customHeight="1" thickBot="1" x14ac:dyDescent="0.25">
      <c r="A131" s="25" t="s">
        <v>22</v>
      </c>
      <c r="B131" s="56" t="s">
        <v>459</v>
      </c>
      <c r="C131" s="276">
        <f>+C132+C133+C134</f>
        <v>874993747</v>
      </c>
      <c r="D131" s="384">
        <f>'9.1.1. sz. mell. '!C131+'9.1.2. sz. mell.'!C131</f>
        <v>874993747</v>
      </c>
      <c r="E131" s="384">
        <f t="shared" si="4"/>
        <v>0</v>
      </c>
      <c r="F131" s="383">
        <f t="shared" si="3"/>
        <v>0</v>
      </c>
    </row>
    <row r="132" spans="1:7" s="906" customFormat="1" ht="12" customHeight="1" thickBot="1" x14ac:dyDescent="0.25">
      <c r="A132" s="206" t="s">
        <v>208</v>
      </c>
      <c r="B132" s="6" t="s">
        <v>503</v>
      </c>
      <c r="C132" s="1030">
        <v>24993747</v>
      </c>
      <c r="D132" s="384">
        <f>'9.1.1. sz. mell. '!C132+'9.1.2. sz. mell.'!C132</f>
        <v>24993747</v>
      </c>
      <c r="E132" s="385">
        <f t="shared" si="4"/>
        <v>0</v>
      </c>
      <c r="F132" s="383">
        <f t="shared" si="3"/>
        <v>0</v>
      </c>
    </row>
    <row r="133" spans="1:7" ht="12" customHeight="1" thickBot="1" x14ac:dyDescent="0.25">
      <c r="A133" s="206" t="s">
        <v>211</v>
      </c>
      <c r="B133" s="6" t="s">
        <v>461</v>
      </c>
      <c r="C133" s="105">
        <v>850000000</v>
      </c>
      <c r="D133" s="384">
        <f>'9.1.1. sz. mell. '!C133+'9.1.2. sz. mell.'!C133</f>
        <v>850000000</v>
      </c>
      <c r="E133" s="386">
        <f t="shared" si="4"/>
        <v>0</v>
      </c>
      <c r="F133" s="383">
        <f t="shared" si="3"/>
        <v>0</v>
      </c>
    </row>
    <row r="134" spans="1:7" ht="12" customHeight="1" thickBot="1" x14ac:dyDescent="0.25">
      <c r="A134" s="215" t="s">
        <v>212</v>
      </c>
      <c r="B134" s="4" t="s">
        <v>504</v>
      </c>
      <c r="C134" s="105"/>
      <c r="D134" s="384">
        <f>'9.1.1. sz. mell. '!C134+'9.1.2. sz. mell.'!C134</f>
        <v>0</v>
      </c>
      <c r="E134" s="387">
        <f t="shared" si="4"/>
        <v>0</v>
      </c>
      <c r="F134" s="383">
        <f t="shared" si="3"/>
        <v>0</v>
      </c>
    </row>
    <row r="135" spans="1:7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  <c r="D135" s="384">
        <f>'9.1.1. sz. mell. '!C135+'9.1.2. sz. mell.'!C135</f>
        <v>0</v>
      </c>
      <c r="E135" s="384">
        <f t="shared" si="4"/>
        <v>0</v>
      </c>
      <c r="F135" s="383">
        <f t="shared" si="3"/>
        <v>0</v>
      </c>
    </row>
    <row r="136" spans="1:7" ht="12" customHeight="1" thickBot="1" x14ac:dyDescent="0.25">
      <c r="A136" s="206" t="s">
        <v>90</v>
      </c>
      <c r="B136" s="6" t="s">
        <v>464</v>
      </c>
      <c r="C136" s="105"/>
      <c r="D136" s="384">
        <f>'9.1.1. sz. mell. '!C136+'9.1.2. sz. mell.'!C136</f>
        <v>0</v>
      </c>
      <c r="E136" s="385">
        <f t="shared" si="4"/>
        <v>0</v>
      </c>
      <c r="F136" s="383">
        <f t="shared" si="3"/>
        <v>0</v>
      </c>
    </row>
    <row r="137" spans="1:7" ht="12" customHeight="1" thickBot="1" x14ac:dyDescent="0.25">
      <c r="A137" s="206" t="s">
        <v>91</v>
      </c>
      <c r="B137" s="6" t="s">
        <v>465</v>
      </c>
      <c r="C137" s="105"/>
      <c r="D137" s="384">
        <f>'9.1.1. sz. mell. '!C137+'9.1.2. sz. mell.'!C137</f>
        <v>0</v>
      </c>
      <c r="E137" s="386">
        <f t="shared" si="4"/>
        <v>0</v>
      </c>
      <c r="F137" s="383">
        <f t="shared" si="3"/>
        <v>0</v>
      </c>
    </row>
    <row r="138" spans="1:7" ht="12" customHeight="1" thickBot="1" x14ac:dyDescent="0.25">
      <c r="A138" s="206" t="s">
        <v>92</v>
      </c>
      <c r="B138" s="6" t="s">
        <v>466</v>
      </c>
      <c r="C138" s="105"/>
      <c r="D138" s="384">
        <f>'9.1.1. sz. mell. '!C138+'9.1.2. sz. mell.'!C138</f>
        <v>0</v>
      </c>
      <c r="E138" s="386">
        <f t="shared" si="4"/>
        <v>0</v>
      </c>
      <c r="F138" s="383">
        <f t="shared" si="3"/>
        <v>0</v>
      </c>
    </row>
    <row r="139" spans="1:7" ht="12" customHeight="1" thickBot="1" x14ac:dyDescent="0.25">
      <c r="A139" s="206" t="s">
        <v>138</v>
      </c>
      <c r="B139" s="6" t="s">
        <v>505</v>
      </c>
      <c r="C139" s="105"/>
      <c r="D139" s="384">
        <f>'9.1.1. sz. mell. '!C139+'9.1.2. sz. mell.'!C139</f>
        <v>0</v>
      </c>
      <c r="E139" s="386">
        <f t="shared" si="4"/>
        <v>0</v>
      </c>
      <c r="F139" s="383">
        <f t="shared" ref="F139:F159" si="5">C139-D139</f>
        <v>0</v>
      </c>
    </row>
    <row r="140" spans="1:7" ht="12" customHeight="1" thickBot="1" x14ac:dyDescent="0.25">
      <c r="A140" s="206" t="s">
        <v>139</v>
      </c>
      <c r="B140" s="6" t="s">
        <v>468</v>
      </c>
      <c r="C140" s="105"/>
      <c r="D140" s="384">
        <f>'9.1.1. sz. mell. '!C140+'9.1.2. sz. mell.'!C140</f>
        <v>0</v>
      </c>
      <c r="E140" s="386">
        <f t="shared" si="4"/>
        <v>0</v>
      </c>
      <c r="F140" s="383">
        <f t="shared" si="5"/>
        <v>0</v>
      </c>
    </row>
    <row r="141" spans="1:7" s="906" customFormat="1" ht="12" customHeight="1" thickBot="1" x14ac:dyDescent="0.25">
      <c r="A141" s="215" t="s">
        <v>140</v>
      </c>
      <c r="B141" s="4" t="s">
        <v>469</v>
      </c>
      <c r="C141" s="105"/>
      <c r="D141" s="384">
        <f>'9.1.1. sz. mell. '!C141+'9.1.2. sz. mell.'!C141</f>
        <v>0</v>
      </c>
      <c r="E141" s="387">
        <f t="shared" si="4"/>
        <v>0</v>
      </c>
      <c r="F141" s="383">
        <f t="shared" si="5"/>
        <v>0</v>
      </c>
    </row>
    <row r="142" spans="1:7" ht="12" customHeight="1" thickBot="1" x14ac:dyDescent="0.25">
      <c r="A142" s="25" t="s">
        <v>24</v>
      </c>
      <c r="B142" s="56" t="s">
        <v>506</v>
      </c>
      <c r="C142" s="279">
        <f>+C143+C144+C145+C146</f>
        <v>48966750</v>
      </c>
      <c r="D142" s="384">
        <f>'9.1.1. sz. mell. '!C142+'9.1.2. sz. mell.'!C142</f>
        <v>48966750</v>
      </c>
      <c r="E142" s="384">
        <f t="shared" si="4"/>
        <v>0</v>
      </c>
      <c r="F142" s="383">
        <f t="shared" si="5"/>
        <v>0</v>
      </c>
      <c r="G142" s="104"/>
    </row>
    <row r="143" spans="1:7" ht="13.5" thickBot="1" x14ac:dyDescent="0.25">
      <c r="A143" s="206" t="s">
        <v>93</v>
      </c>
      <c r="B143" s="6" t="s">
        <v>317</v>
      </c>
      <c r="C143" s="105"/>
      <c r="D143" s="384">
        <f>'9.1.1. sz. mell. '!C143+'9.1.2. sz. mell.'!C143</f>
        <v>0</v>
      </c>
      <c r="E143" s="385">
        <f t="shared" si="4"/>
        <v>0</v>
      </c>
      <c r="F143" s="383">
        <f t="shared" si="5"/>
        <v>0</v>
      </c>
    </row>
    <row r="144" spans="1:7" ht="12" customHeight="1" thickBot="1" x14ac:dyDescent="0.25">
      <c r="A144" s="206" t="s">
        <v>94</v>
      </c>
      <c r="B144" s="6" t="s">
        <v>318</v>
      </c>
      <c r="C144" s="105">
        <v>48966750</v>
      </c>
      <c r="D144" s="384">
        <f>'9.1.1. sz. mell. '!C144+'9.1.2. sz. mell.'!C144</f>
        <v>48966750</v>
      </c>
      <c r="E144" s="386">
        <f t="shared" si="4"/>
        <v>0</v>
      </c>
      <c r="F144" s="383">
        <f t="shared" si="5"/>
        <v>0</v>
      </c>
    </row>
    <row r="145" spans="1:6" s="906" customFormat="1" ht="12" customHeight="1" thickBot="1" x14ac:dyDescent="0.25">
      <c r="A145" s="206" t="s">
        <v>231</v>
      </c>
      <c r="B145" s="6" t="s">
        <v>471</v>
      </c>
      <c r="C145" s="105"/>
      <c r="D145" s="384">
        <f>'9.1.1. sz. mell. '!C145+'9.1.2. sz. mell.'!C145</f>
        <v>0</v>
      </c>
      <c r="E145" s="386">
        <f t="shared" si="4"/>
        <v>0</v>
      </c>
      <c r="F145" s="383">
        <f t="shared" si="5"/>
        <v>0</v>
      </c>
    </row>
    <row r="146" spans="1:6" s="906" customFormat="1" ht="12" customHeight="1" thickBot="1" x14ac:dyDescent="0.25">
      <c r="A146" s="215" t="s">
        <v>232</v>
      </c>
      <c r="B146" s="4" t="s">
        <v>336</v>
      </c>
      <c r="C146" s="105"/>
      <c r="D146" s="384">
        <f>'9.1.1. sz. mell. '!C146+'9.1.2. sz. mell.'!C146</f>
        <v>0</v>
      </c>
      <c r="E146" s="387">
        <f t="shared" si="4"/>
        <v>0</v>
      </c>
      <c r="F146" s="383">
        <f t="shared" si="5"/>
        <v>0</v>
      </c>
    </row>
    <row r="147" spans="1:6" s="906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  <c r="D147" s="384">
        <f>'9.1.1. sz. mell. '!C147+'9.1.2. sz. mell.'!C147</f>
        <v>0</v>
      </c>
      <c r="E147" s="384">
        <f t="shared" si="4"/>
        <v>0</v>
      </c>
      <c r="F147" s="383">
        <f t="shared" si="5"/>
        <v>0</v>
      </c>
    </row>
    <row r="148" spans="1:6" s="906" customFormat="1" ht="12" customHeight="1" thickBot="1" x14ac:dyDescent="0.25">
      <c r="A148" s="206" t="s">
        <v>95</v>
      </c>
      <c r="B148" s="6" t="s">
        <v>473</v>
      </c>
      <c r="C148" s="105"/>
      <c r="D148" s="384">
        <f>'9.1.1. sz. mell. '!C148+'9.1.2. sz. mell.'!C148</f>
        <v>0</v>
      </c>
      <c r="E148" s="385">
        <f t="shared" si="4"/>
        <v>0</v>
      </c>
      <c r="F148" s="383">
        <f t="shared" si="5"/>
        <v>0</v>
      </c>
    </row>
    <row r="149" spans="1:6" s="906" customFormat="1" ht="12" customHeight="1" thickBot="1" x14ac:dyDescent="0.25">
      <c r="A149" s="206" t="s">
        <v>96</v>
      </c>
      <c r="B149" s="6" t="s">
        <v>474</v>
      </c>
      <c r="C149" s="105"/>
      <c r="D149" s="384">
        <f>'9.1.1. sz. mell. '!C149+'9.1.2. sz. mell.'!C149</f>
        <v>0</v>
      </c>
      <c r="E149" s="386">
        <f t="shared" si="4"/>
        <v>0</v>
      </c>
      <c r="F149" s="383">
        <f t="shared" si="5"/>
        <v>0</v>
      </c>
    </row>
    <row r="150" spans="1:6" s="906" customFormat="1" ht="12" customHeight="1" thickBot="1" x14ac:dyDescent="0.25">
      <c r="A150" s="206" t="s">
        <v>243</v>
      </c>
      <c r="B150" s="6" t="s">
        <v>475</v>
      </c>
      <c r="C150" s="105"/>
      <c r="D150" s="384">
        <f>'9.1.1. sz. mell. '!C150+'9.1.2. sz. mell.'!C150</f>
        <v>0</v>
      </c>
      <c r="E150" s="386">
        <f t="shared" si="4"/>
        <v>0</v>
      </c>
      <c r="F150" s="383">
        <f t="shared" si="5"/>
        <v>0</v>
      </c>
    </row>
    <row r="151" spans="1:6" s="906" customFormat="1" ht="12" customHeight="1" thickBot="1" x14ac:dyDescent="0.25">
      <c r="A151" s="206" t="s">
        <v>244</v>
      </c>
      <c r="B151" s="6" t="s">
        <v>507</v>
      </c>
      <c r="C151" s="105"/>
      <c r="D151" s="384">
        <f>'9.1.1. sz. mell. '!C151+'9.1.2. sz. mell.'!C151</f>
        <v>0</v>
      </c>
      <c r="E151" s="386">
        <f t="shared" si="4"/>
        <v>0</v>
      </c>
      <c r="F151" s="383">
        <f t="shared" si="5"/>
        <v>0</v>
      </c>
    </row>
    <row r="152" spans="1:6" ht="12.75" customHeight="1" thickBot="1" x14ac:dyDescent="0.25">
      <c r="A152" s="215" t="s">
        <v>477</v>
      </c>
      <c r="B152" s="4" t="s">
        <v>478</v>
      </c>
      <c r="C152" s="106"/>
      <c r="D152" s="384">
        <f>'9.1.1. sz. mell. '!C152+'9.1.2. sz. mell.'!C152</f>
        <v>0</v>
      </c>
      <c r="E152" s="387">
        <f t="shared" si="4"/>
        <v>0</v>
      </c>
      <c r="F152" s="383">
        <f t="shared" si="5"/>
        <v>0</v>
      </c>
    </row>
    <row r="153" spans="1:6" ht="12.75" customHeight="1" thickBot="1" x14ac:dyDescent="0.25">
      <c r="A153" s="263" t="s">
        <v>26</v>
      </c>
      <c r="B153" s="56" t="s">
        <v>479</v>
      </c>
      <c r="C153" s="286"/>
      <c r="D153" s="384">
        <f>'9.1.1. sz. mell. '!C153+'9.1.2. sz. mell.'!C153</f>
        <v>0</v>
      </c>
      <c r="E153" s="384">
        <f t="shared" si="4"/>
        <v>0</v>
      </c>
      <c r="F153" s="383">
        <f t="shared" si="5"/>
        <v>0</v>
      </c>
    </row>
    <row r="154" spans="1:6" ht="12.75" customHeight="1" thickBot="1" x14ac:dyDescent="0.25">
      <c r="A154" s="263" t="s">
        <v>27</v>
      </c>
      <c r="B154" s="56" t="s">
        <v>480</v>
      </c>
      <c r="C154" s="286"/>
      <c r="D154" s="384">
        <f>'9.1.1. sz. mell. '!C154+'9.1.2. sz. mell.'!C154</f>
        <v>0</v>
      </c>
      <c r="E154" s="388">
        <f t="shared" si="4"/>
        <v>0</v>
      </c>
      <c r="F154" s="383">
        <f t="shared" si="5"/>
        <v>0</v>
      </c>
    </row>
    <row r="155" spans="1:6" ht="12" customHeight="1" thickBot="1" x14ac:dyDescent="0.25">
      <c r="A155" s="25" t="s">
        <v>28</v>
      </c>
      <c r="B155" s="56" t="s">
        <v>481</v>
      </c>
      <c r="C155" s="287">
        <f>+C131+C135+C142+C147+C153+C154</f>
        <v>923960497</v>
      </c>
      <c r="D155" s="384">
        <f>'9.1.1. sz. mell. '!C155+'9.1.2. sz. mell.'!C155</f>
        <v>923960497</v>
      </c>
      <c r="E155" s="384">
        <f t="shared" si="4"/>
        <v>0</v>
      </c>
      <c r="F155" s="383">
        <f t="shared" si="5"/>
        <v>0</v>
      </c>
    </row>
    <row r="156" spans="1:6" ht="15" customHeight="1" thickBot="1" x14ac:dyDescent="0.25">
      <c r="A156" s="217" t="s">
        <v>29</v>
      </c>
      <c r="B156" s="177" t="s">
        <v>482</v>
      </c>
      <c r="C156" s="287">
        <f>+C130+C155</f>
        <v>2659904769</v>
      </c>
      <c r="D156" s="384">
        <f>'9.1.1. sz. mell. '!C156+'9.1.2. sz. mell.'!C156</f>
        <v>2659904769</v>
      </c>
      <c r="E156" s="384">
        <f t="shared" si="4"/>
        <v>0</v>
      </c>
      <c r="F156" s="383">
        <f t="shared" si="5"/>
        <v>0</v>
      </c>
    </row>
    <row r="157" spans="1:6" ht="13.5" thickBot="1" x14ac:dyDescent="0.25">
      <c r="D157" s="384">
        <f>'9.1.1. sz. mell. '!C157+'9.1.2. sz. mell.'!C157</f>
        <v>0</v>
      </c>
      <c r="E157" s="384">
        <f t="shared" si="4"/>
        <v>0</v>
      </c>
      <c r="F157" s="383">
        <f t="shared" si="5"/>
        <v>0</v>
      </c>
    </row>
    <row r="158" spans="1:6" ht="15" customHeight="1" thickBot="1" x14ac:dyDescent="0.25">
      <c r="A158" s="1466" t="s">
        <v>508</v>
      </c>
      <c r="B158" s="1467"/>
      <c r="C158" s="55">
        <v>5</v>
      </c>
      <c r="D158" s="945">
        <f>'9.1.1. sz. mell. '!C158+'9.1.2. sz. mell.'!C158</f>
        <v>5</v>
      </c>
      <c r="E158" s="384">
        <f t="shared" si="4"/>
        <v>0</v>
      </c>
      <c r="F158" s="383">
        <f t="shared" si="5"/>
        <v>0</v>
      </c>
    </row>
    <row r="159" spans="1:6" ht="15" customHeight="1" thickBot="1" x14ac:dyDescent="0.25">
      <c r="A159" s="1466" t="s">
        <v>808</v>
      </c>
      <c r="B159" s="1467"/>
      <c r="C159" s="944">
        <v>0</v>
      </c>
      <c r="D159" s="384">
        <f>'9.1.1. sz. mell. '!C159+'9.1.2. sz. mell.'!C159</f>
        <v>0</v>
      </c>
      <c r="E159" s="384">
        <f>C159-D159</f>
        <v>0</v>
      </c>
      <c r="F159" s="383">
        <f t="shared" si="5"/>
        <v>0</v>
      </c>
    </row>
  </sheetData>
  <sheetProtection formatCells="0"/>
  <mergeCells count="3">
    <mergeCell ref="A1:C1"/>
    <mergeCell ref="A158:B158"/>
    <mergeCell ref="A159:B159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3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8"/>
  <sheetViews>
    <sheetView topLeftCell="A151" zoomScale="115" zoomScaleNormal="115" zoomScaleSheetLayoutView="70" workbookViewId="0">
      <selection activeCell="C166" sqref="C166"/>
    </sheetView>
  </sheetViews>
  <sheetFormatPr defaultRowHeight="12.75" x14ac:dyDescent="0.2"/>
  <cols>
    <col min="1" max="1" width="19.5" style="389" customWidth="1"/>
    <col min="2" max="2" width="72" style="390" customWidth="1"/>
    <col min="3" max="3" width="25" style="391" customWidth="1"/>
    <col min="4" max="4" width="17.33203125" style="902" bestFit="1" customWidth="1"/>
    <col min="5" max="16384" width="9.33203125" style="902"/>
  </cols>
  <sheetData>
    <row r="1" spans="1:3" x14ac:dyDescent="0.2">
      <c r="A1" s="1465" t="str">
        <f>CONCATENATE("9.1.1. melléklet"," ",ALAPADATOK!A7," ",ALAPADATOK!B7," ",ALAPADATOK!C7," ",ALAPADATOK!D7," ",ALAPADATOK!E7," ",ALAPADATOK!F7," ",ALAPADATOK!G7," ",ALAPADATOK!H7)</f>
        <v>9.1.1. melléklet a 2 / 2021. ( II.15. ) önkormányzati rendelethez</v>
      </c>
      <c r="B1" s="1465"/>
      <c r="C1" s="1465"/>
    </row>
    <row r="2" spans="1:3" s="1" customFormat="1" ht="16.5" customHeight="1" thickBot="1" x14ac:dyDescent="0.25">
      <c r="A2" s="79"/>
      <c r="B2" s="81"/>
      <c r="C2" s="103"/>
    </row>
    <row r="3" spans="1:3" s="38" customFormat="1" ht="21" customHeight="1" x14ac:dyDescent="0.2">
      <c r="A3" s="182" t="s">
        <v>62</v>
      </c>
      <c r="B3" s="161" t="s">
        <v>167</v>
      </c>
      <c r="C3" s="163" t="s">
        <v>53</v>
      </c>
    </row>
    <row r="4" spans="1:3" s="38" customFormat="1" ht="16.5" thickBot="1" x14ac:dyDescent="0.25">
      <c r="A4" s="82" t="s">
        <v>163</v>
      </c>
      <c r="B4" s="162" t="s">
        <v>374</v>
      </c>
      <c r="C4" s="262" t="s">
        <v>60</v>
      </c>
    </row>
    <row r="5" spans="1:3" s="39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164" t="s">
        <v>55</v>
      </c>
    </row>
    <row r="7" spans="1:3" s="32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32" customFormat="1" ht="15.95" customHeight="1" thickBot="1" x14ac:dyDescent="0.25">
      <c r="A8" s="87"/>
      <c r="B8" s="88" t="s">
        <v>56</v>
      </c>
      <c r="C8" s="165"/>
    </row>
    <row r="9" spans="1:3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1274570612</v>
      </c>
    </row>
    <row r="10" spans="1:3" s="40" customFormat="1" ht="12" customHeight="1" x14ac:dyDescent="0.2">
      <c r="A10" s="206" t="s">
        <v>97</v>
      </c>
      <c r="B10" s="192" t="s">
        <v>193</v>
      </c>
      <c r="C10" s="1032">
        <v>295696597</v>
      </c>
    </row>
    <row r="11" spans="1:3" s="41" customFormat="1" ht="12" customHeight="1" x14ac:dyDescent="0.2">
      <c r="A11" s="207" t="s">
        <v>98</v>
      </c>
      <c r="B11" s="193" t="s">
        <v>194</v>
      </c>
      <c r="C11" s="1030">
        <v>254023920</v>
      </c>
    </row>
    <row r="12" spans="1:3" s="41" customFormat="1" ht="12" customHeight="1" x14ac:dyDescent="0.2">
      <c r="A12" s="207" t="s">
        <v>99</v>
      </c>
      <c r="B12" s="193" t="s">
        <v>820</v>
      </c>
      <c r="C12" s="1030">
        <f>SUM(C13:C14)</f>
        <v>449582556</v>
      </c>
    </row>
    <row r="13" spans="1:3" s="41" customFormat="1" ht="12" customHeight="1" x14ac:dyDescent="0.2">
      <c r="A13" s="207" t="s">
        <v>818</v>
      </c>
      <c r="B13" s="193" t="s">
        <v>821</v>
      </c>
      <c r="C13" s="1030">
        <v>323323762</v>
      </c>
    </row>
    <row r="14" spans="1:3" s="41" customFormat="1" ht="12" customHeight="1" x14ac:dyDescent="0.2">
      <c r="A14" s="207" t="s">
        <v>819</v>
      </c>
      <c r="B14" s="193" t="s">
        <v>822</v>
      </c>
      <c r="C14" s="1029">
        <v>126258794</v>
      </c>
    </row>
    <row r="15" spans="1:3" s="41" customFormat="1" ht="12" customHeight="1" x14ac:dyDescent="0.2">
      <c r="A15" s="207" t="s">
        <v>100</v>
      </c>
      <c r="B15" s="193" t="s">
        <v>196</v>
      </c>
      <c r="C15" s="1030">
        <v>40888120</v>
      </c>
    </row>
    <row r="16" spans="1:3" s="41" customFormat="1" ht="12" customHeight="1" x14ac:dyDescent="0.2">
      <c r="A16" s="207" t="s">
        <v>123</v>
      </c>
      <c r="B16" s="193" t="s">
        <v>495</v>
      </c>
      <c r="C16" s="1030">
        <f>234271694+107725</f>
        <v>234379419</v>
      </c>
    </row>
    <row r="17" spans="1:3" s="40" customFormat="1" ht="12" customHeight="1" thickBot="1" x14ac:dyDescent="0.25">
      <c r="A17" s="208" t="s">
        <v>101</v>
      </c>
      <c r="B17" s="194" t="s">
        <v>438</v>
      </c>
      <c r="C17" s="105"/>
    </row>
    <row r="18" spans="1:3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124208366</v>
      </c>
    </row>
    <row r="19" spans="1:3" s="40" customFormat="1" ht="12" customHeight="1" x14ac:dyDescent="0.2">
      <c r="A19" s="206" t="s">
        <v>103</v>
      </c>
      <c r="B19" s="192" t="s">
        <v>198</v>
      </c>
      <c r="C19" s="278"/>
    </row>
    <row r="20" spans="1:3" s="40" customFormat="1" ht="12" customHeight="1" x14ac:dyDescent="0.2">
      <c r="A20" s="207" t="s">
        <v>104</v>
      </c>
      <c r="B20" s="193" t="s">
        <v>199</v>
      </c>
      <c r="C20" s="105"/>
    </row>
    <row r="21" spans="1:3" s="40" customFormat="1" ht="12" customHeight="1" x14ac:dyDescent="0.2">
      <c r="A21" s="207" t="s">
        <v>105</v>
      </c>
      <c r="B21" s="193" t="s">
        <v>367</v>
      </c>
      <c r="C21" s="105"/>
    </row>
    <row r="22" spans="1:3" s="40" customFormat="1" ht="12" customHeight="1" x14ac:dyDescent="0.2">
      <c r="A22" s="207" t="s">
        <v>106</v>
      </c>
      <c r="B22" s="193" t="s">
        <v>368</v>
      </c>
      <c r="C22" s="105"/>
    </row>
    <row r="23" spans="1:3" s="40" customFormat="1" ht="12" customHeight="1" x14ac:dyDescent="0.2">
      <c r="A23" s="207" t="s">
        <v>107</v>
      </c>
      <c r="B23" s="193" t="s">
        <v>200</v>
      </c>
      <c r="C23" s="1030">
        <v>124208366</v>
      </c>
    </row>
    <row r="24" spans="1:3" s="41" customFormat="1" ht="12" customHeight="1" thickBot="1" x14ac:dyDescent="0.25">
      <c r="A24" s="208" t="s">
        <v>116</v>
      </c>
      <c r="B24" s="194" t="s">
        <v>201</v>
      </c>
      <c r="C24" s="106">
        <f>17520150+30768216</f>
        <v>48288366</v>
      </c>
    </row>
    <row r="25" spans="1:3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27379073</v>
      </c>
    </row>
    <row r="26" spans="1:3" s="41" customFormat="1" ht="12" customHeight="1" x14ac:dyDescent="0.2">
      <c r="A26" s="206" t="s">
        <v>86</v>
      </c>
      <c r="B26" s="192" t="s">
        <v>203</v>
      </c>
      <c r="C26" s="1032"/>
    </row>
    <row r="27" spans="1:3" s="40" customFormat="1" ht="12" customHeight="1" x14ac:dyDescent="0.2">
      <c r="A27" s="207" t="s">
        <v>87</v>
      </c>
      <c r="B27" s="193" t="s">
        <v>204</v>
      </c>
      <c r="C27" s="1030"/>
    </row>
    <row r="28" spans="1:3" s="41" customFormat="1" ht="12" customHeight="1" x14ac:dyDescent="0.2">
      <c r="A28" s="207" t="s">
        <v>88</v>
      </c>
      <c r="B28" s="193" t="s">
        <v>369</v>
      </c>
      <c r="C28" s="1030"/>
    </row>
    <row r="29" spans="1:3" s="41" customFormat="1" ht="12" customHeight="1" x14ac:dyDescent="0.2">
      <c r="A29" s="207" t="s">
        <v>89</v>
      </c>
      <c r="B29" s="193" t="s">
        <v>370</v>
      </c>
      <c r="C29" s="1030"/>
    </row>
    <row r="30" spans="1:3" s="41" customFormat="1" ht="12" customHeight="1" x14ac:dyDescent="0.2">
      <c r="A30" s="207" t="s">
        <v>134</v>
      </c>
      <c r="B30" s="193" t="s">
        <v>205</v>
      </c>
      <c r="C30" s="1030">
        <v>27379073</v>
      </c>
    </row>
    <row r="31" spans="1:3" s="41" customFormat="1" ht="12" customHeight="1" thickBot="1" x14ac:dyDescent="0.25">
      <c r="A31" s="208" t="s">
        <v>135</v>
      </c>
      <c r="B31" s="194" t="s">
        <v>206</v>
      </c>
      <c r="C31" s="1031">
        <f>21590900+1499571+3482179+806423</f>
        <v>27379073</v>
      </c>
    </row>
    <row r="32" spans="1:3" s="41" customFormat="1" ht="12" customHeight="1" thickBot="1" x14ac:dyDescent="0.25">
      <c r="A32" s="25" t="s">
        <v>136</v>
      </c>
      <c r="B32" s="18" t="s">
        <v>207</v>
      </c>
      <c r="C32" s="279">
        <f>+C33+C37+C38</f>
        <v>398600000</v>
      </c>
    </row>
    <row r="33" spans="1:3" s="41" customFormat="1" ht="12" customHeight="1" x14ac:dyDescent="0.2">
      <c r="A33" s="206" t="s">
        <v>208</v>
      </c>
      <c r="B33" s="192" t="s">
        <v>626</v>
      </c>
      <c r="C33" s="293">
        <f>SUM(C34:C35)</f>
        <v>385080000</v>
      </c>
    </row>
    <row r="34" spans="1:3" s="41" customFormat="1" ht="12" customHeight="1" x14ac:dyDescent="0.2">
      <c r="A34" s="207" t="s">
        <v>209</v>
      </c>
      <c r="B34" s="193" t="s">
        <v>214</v>
      </c>
      <c r="C34" s="105">
        <f>82000000+6280000</f>
        <v>88280000</v>
      </c>
    </row>
    <row r="35" spans="1:3" s="41" customFormat="1" ht="12" customHeight="1" x14ac:dyDescent="0.2">
      <c r="A35" s="207" t="s">
        <v>210</v>
      </c>
      <c r="B35" s="250" t="s">
        <v>625</v>
      </c>
      <c r="C35" s="105">
        <f>296800000</f>
        <v>296800000</v>
      </c>
    </row>
    <row r="36" spans="1:3" s="41" customFormat="1" ht="12" customHeight="1" x14ac:dyDescent="0.2">
      <c r="A36" s="207" t="s">
        <v>211</v>
      </c>
      <c r="B36" s="193" t="s">
        <v>523</v>
      </c>
      <c r="C36" s="1030"/>
    </row>
    <row r="37" spans="1:3" s="41" customFormat="1" ht="12" customHeight="1" x14ac:dyDescent="0.2">
      <c r="A37" s="207" t="s">
        <v>212</v>
      </c>
      <c r="B37" s="193" t="s">
        <v>216</v>
      </c>
      <c r="C37" s="105"/>
    </row>
    <row r="38" spans="1:3" s="41" customFormat="1" ht="12" customHeight="1" thickBot="1" x14ac:dyDescent="0.25">
      <c r="A38" s="208" t="s">
        <v>213</v>
      </c>
      <c r="B38" s="194" t="s">
        <v>217</v>
      </c>
      <c r="C38" s="1031">
        <f>7000000+6520000</f>
        <v>13520000</v>
      </c>
    </row>
    <row r="39" spans="1:3" s="41" customFormat="1" ht="12" customHeight="1" thickBot="1" x14ac:dyDescent="0.25">
      <c r="A39" s="25" t="s">
        <v>23</v>
      </c>
      <c r="B39" s="18" t="s">
        <v>439</v>
      </c>
      <c r="C39" s="276">
        <f>SUM(C40:C50)</f>
        <v>39795765</v>
      </c>
    </row>
    <row r="40" spans="1:3" s="41" customFormat="1" ht="12" customHeight="1" x14ac:dyDescent="0.2">
      <c r="A40" s="206" t="s">
        <v>90</v>
      </c>
      <c r="B40" s="192" t="s">
        <v>220</v>
      </c>
      <c r="C40" s="1032"/>
    </row>
    <row r="41" spans="1:3" s="41" customFormat="1" ht="12" customHeight="1" x14ac:dyDescent="0.2">
      <c r="A41" s="207" t="s">
        <v>91</v>
      </c>
      <c r="B41" s="193" t="s">
        <v>221</v>
      </c>
      <c r="C41" s="1030">
        <v>15786984</v>
      </c>
    </row>
    <row r="42" spans="1:3" s="41" customFormat="1" ht="12" customHeight="1" x14ac:dyDescent="0.2">
      <c r="A42" s="207" t="s">
        <v>92</v>
      </c>
      <c r="B42" s="193" t="s">
        <v>222</v>
      </c>
      <c r="C42" s="1030">
        <v>9686744</v>
      </c>
    </row>
    <row r="43" spans="1:3" s="41" customFormat="1" ht="12" customHeight="1" x14ac:dyDescent="0.2">
      <c r="A43" s="207" t="s">
        <v>138</v>
      </c>
      <c r="B43" s="193" t="s">
        <v>223</v>
      </c>
      <c r="C43" s="1030">
        <v>3743473</v>
      </c>
    </row>
    <row r="44" spans="1:3" s="41" customFormat="1" ht="12" customHeight="1" x14ac:dyDescent="0.2">
      <c r="A44" s="207" t="s">
        <v>139</v>
      </c>
      <c r="B44" s="193" t="s">
        <v>224</v>
      </c>
      <c r="C44" s="1030"/>
    </row>
    <row r="45" spans="1:3" s="41" customFormat="1" ht="12" customHeight="1" x14ac:dyDescent="0.2">
      <c r="A45" s="207" t="s">
        <v>140</v>
      </c>
      <c r="B45" s="193" t="s">
        <v>225</v>
      </c>
      <c r="C45" s="1030">
        <v>8159787</v>
      </c>
    </row>
    <row r="46" spans="1:3" s="41" customFormat="1" ht="12" customHeight="1" x14ac:dyDescent="0.2">
      <c r="A46" s="207" t="s">
        <v>141</v>
      </c>
      <c r="B46" s="193" t="s">
        <v>226</v>
      </c>
      <c r="C46" s="1030"/>
    </row>
    <row r="47" spans="1:3" s="41" customFormat="1" ht="12" customHeight="1" x14ac:dyDescent="0.2">
      <c r="A47" s="207" t="s">
        <v>142</v>
      </c>
      <c r="B47" s="193" t="s">
        <v>227</v>
      </c>
      <c r="C47" s="1030"/>
    </row>
    <row r="48" spans="1:3" s="41" customFormat="1" ht="12" customHeight="1" x14ac:dyDescent="0.2">
      <c r="A48" s="207" t="s">
        <v>218</v>
      </c>
      <c r="B48" s="193" t="s">
        <v>228</v>
      </c>
      <c r="C48" s="1030"/>
    </row>
    <row r="49" spans="1:3" s="41" customFormat="1" ht="12" customHeight="1" x14ac:dyDescent="0.2">
      <c r="A49" s="208" t="s">
        <v>219</v>
      </c>
      <c r="B49" s="194" t="s">
        <v>440</v>
      </c>
      <c r="C49" s="1031">
        <v>1000000</v>
      </c>
    </row>
    <row r="50" spans="1:3" s="41" customFormat="1" ht="12" customHeight="1" thickBot="1" x14ac:dyDescent="0.25">
      <c r="A50" s="208" t="s">
        <v>441</v>
      </c>
      <c r="B50" s="194" t="s">
        <v>229</v>
      </c>
      <c r="C50" s="1031">
        <f>1414062+4715</f>
        <v>1418777</v>
      </c>
    </row>
    <row r="51" spans="1:3" s="41" customFormat="1" ht="12" customHeight="1" thickBot="1" x14ac:dyDescent="0.25">
      <c r="A51" s="25" t="s">
        <v>24</v>
      </c>
      <c r="B51" s="18" t="s">
        <v>230</v>
      </c>
      <c r="C51" s="276">
        <f>SUM(C52:C56)</f>
        <v>63000000</v>
      </c>
    </row>
    <row r="52" spans="1:3" s="41" customFormat="1" ht="12" customHeight="1" x14ac:dyDescent="0.2">
      <c r="A52" s="206" t="s">
        <v>93</v>
      </c>
      <c r="B52" s="192" t="s">
        <v>234</v>
      </c>
      <c r="C52" s="1032"/>
    </row>
    <row r="53" spans="1:3" s="41" customFormat="1" ht="12" customHeight="1" x14ac:dyDescent="0.2">
      <c r="A53" s="207" t="s">
        <v>94</v>
      </c>
      <c r="B53" s="193" t="s">
        <v>235</v>
      </c>
      <c r="C53" s="1030">
        <v>63000000</v>
      </c>
    </row>
    <row r="54" spans="1:3" s="41" customFormat="1" ht="12" customHeight="1" x14ac:dyDescent="0.2">
      <c r="A54" s="207" t="s">
        <v>231</v>
      </c>
      <c r="B54" s="193" t="s">
        <v>236</v>
      </c>
      <c r="C54" s="1030"/>
    </row>
    <row r="55" spans="1:3" s="41" customFormat="1" ht="12" customHeight="1" x14ac:dyDescent="0.2">
      <c r="A55" s="207" t="s">
        <v>232</v>
      </c>
      <c r="B55" s="193" t="s">
        <v>237</v>
      </c>
      <c r="C55" s="1030"/>
    </row>
    <row r="56" spans="1:3" s="41" customFormat="1" ht="12" customHeight="1" thickBot="1" x14ac:dyDescent="0.25">
      <c r="A56" s="208" t="s">
        <v>233</v>
      </c>
      <c r="B56" s="194" t="s">
        <v>238</v>
      </c>
      <c r="C56" s="1031"/>
    </row>
    <row r="57" spans="1:3" s="41" customFormat="1" ht="12" customHeight="1" thickBot="1" x14ac:dyDescent="0.25">
      <c r="A57" s="25" t="s">
        <v>143</v>
      </c>
      <c r="B57" s="18" t="s">
        <v>239</v>
      </c>
      <c r="C57" s="276">
        <f>SUM(C58:C60)</f>
        <v>1000000</v>
      </c>
    </row>
    <row r="58" spans="1:3" s="41" customFormat="1" ht="12" customHeight="1" x14ac:dyDescent="0.2">
      <c r="A58" s="206" t="s">
        <v>95</v>
      </c>
      <c r="B58" s="192" t="s">
        <v>240</v>
      </c>
      <c r="C58" s="278"/>
    </row>
    <row r="59" spans="1:3" s="41" customFormat="1" ht="12" customHeight="1" x14ac:dyDescent="0.2">
      <c r="A59" s="207" t="s">
        <v>96</v>
      </c>
      <c r="B59" s="193" t="s">
        <v>371</v>
      </c>
      <c r="C59" s="1030"/>
    </row>
    <row r="60" spans="1:3" s="41" customFormat="1" ht="12" customHeight="1" x14ac:dyDescent="0.2">
      <c r="A60" s="207" t="s">
        <v>243</v>
      </c>
      <c r="B60" s="193" t="s">
        <v>241</v>
      </c>
      <c r="C60" s="1030">
        <v>1000000</v>
      </c>
    </row>
    <row r="61" spans="1:3" s="41" customFormat="1" ht="12" customHeight="1" thickBot="1" x14ac:dyDescent="0.25">
      <c r="A61" s="208" t="s">
        <v>244</v>
      </c>
      <c r="B61" s="194" t="s">
        <v>242</v>
      </c>
      <c r="C61" s="106"/>
    </row>
    <row r="62" spans="1:3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</row>
    <row r="63" spans="1:3" s="41" customFormat="1" ht="12" customHeight="1" x14ac:dyDescent="0.2">
      <c r="A63" s="206" t="s">
        <v>144</v>
      </c>
      <c r="B63" s="192" t="s">
        <v>247</v>
      </c>
      <c r="C63" s="1030"/>
    </row>
    <row r="64" spans="1:3" s="41" customFormat="1" ht="12" customHeight="1" x14ac:dyDescent="0.2">
      <c r="A64" s="207" t="s">
        <v>145</v>
      </c>
      <c r="B64" s="193" t="s">
        <v>372</v>
      </c>
      <c r="C64" s="1030"/>
    </row>
    <row r="65" spans="1:3" s="41" customFormat="1" ht="12" customHeight="1" x14ac:dyDescent="0.2">
      <c r="A65" s="207" t="s">
        <v>171</v>
      </c>
      <c r="B65" s="193" t="s">
        <v>248</v>
      </c>
      <c r="C65" s="1030"/>
    </row>
    <row r="66" spans="1:3" s="41" customFormat="1" ht="12" customHeight="1" thickBot="1" x14ac:dyDescent="0.25">
      <c r="A66" s="208" t="s">
        <v>246</v>
      </c>
      <c r="B66" s="194" t="s">
        <v>249</v>
      </c>
      <c r="C66" s="1030"/>
    </row>
    <row r="67" spans="1:3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1928553816</v>
      </c>
    </row>
    <row r="68" spans="1:3" s="41" customFormat="1" ht="12" customHeight="1" thickBot="1" x14ac:dyDescent="0.2">
      <c r="A68" s="209" t="s">
        <v>340</v>
      </c>
      <c r="B68" s="111" t="s">
        <v>252</v>
      </c>
      <c r="C68" s="276">
        <f>SUM(C69:C71)</f>
        <v>868562529</v>
      </c>
    </row>
    <row r="69" spans="1:3" s="41" customFormat="1" ht="12" customHeight="1" x14ac:dyDescent="0.2">
      <c r="A69" s="206" t="s">
        <v>283</v>
      </c>
      <c r="B69" s="192" t="s">
        <v>253</v>
      </c>
      <c r="C69" s="1030">
        <f>11503705+7058824</f>
        <v>18562529</v>
      </c>
    </row>
    <row r="70" spans="1:3" s="41" customFormat="1" ht="12" customHeight="1" x14ac:dyDescent="0.2">
      <c r="A70" s="207" t="s">
        <v>292</v>
      </c>
      <c r="B70" s="193" t="s">
        <v>254</v>
      </c>
      <c r="C70" s="1030">
        <v>850000000</v>
      </c>
    </row>
    <row r="71" spans="1:3" s="41" customFormat="1" ht="12" customHeight="1" thickBot="1" x14ac:dyDescent="0.25">
      <c r="A71" s="208" t="s">
        <v>293</v>
      </c>
      <c r="B71" s="195" t="s">
        <v>255</v>
      </c>
      <c r="C71" s="1030"/>
    </row>
    <row r="72" spans="1:3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</row>
    <row r="73" spans="1:3" s="41" customFormat="1" ht="12" customHeight="1" x14ac:dyDescent="0.2">
      <c r="A73" s="206" t="s">
        <v>124</v>
      </c>
      <c r="B73" s="192" t="s">
        <v>258</v>
      </c>
      <c r="C73" s="1030"/>
    </row>
    <row r="74" spans="1:3" s="41" customFormat="1" ht="12" customHeight="1" x14ac:dyDescent="0.2">
      <c r="A74" s="207" t="s">
        <v>125</v>
      </c>
      <c r="B74" s="193" t="s">
        <v>259</v>
      </c>
      <c r="C74" s="1030"/>
    </row>
    <row r="75" spans="1:3" s="41" customFormat="1" ht="12" customHeight="1" x14ac:dyDescent="0.2">
      <c r="A75" s="207" t="s">
        <v>284</v>
      </c>
      <c r="B75" s="193" t="s">
        <v>260</v>
      </c>
      <c r="C75" s="1030"/>
    </row>
    <row r="76" spans="1:3" s="41" customFormat="1" ht="12" customHeight="1" thickBot="1" x14ac:dyDescent="0.25">
      <c r="A76" s="208" t="s">
        <v>285</v>
      </c>
      <c r="B76" s="194" t="s">
        <v>261</v>
      </c>
      <c r="C76" s="1030"/>
    </row>
    <row r="77" spans="1:3" s="41" customFormat="1" ht="12" customHeight="1" thickBot="1" x14ac:dyDescent="0.2">
      <c r="A77" s="209" t="s">
        <v>262</v>
      </c>
      <c r="B77" s="111" t="s">
        <v>263</v>
      </c>
      <c r="C77" s="276">
        <f>SUM(C78:C79)</f>
        <v>847491815</v>
      </c>
    </row>
    <row r="78" spans="1:3" s="41" customFormat="1" ht="12" customHeight="1" x14ac:dyDescent="0.2">
      <c r="A78" s="206" t="s">
        <v>286</v>
      </c>
      <c r="B78" s="192" t="s">
        <v>264</v>
      </c>
      <c r="C78" s="1030">
        <v>847491815</v>
      </c>
    </row>
    <row r="79" spans="1:3" s="41" customFormat="1" ht="12" customHeight="1" thickBot="1" x14ac:dyDescent="0.25">
      <c r="A79" s="208" t="s">
        <v>287</v>
      </c>
      <c r="B79" s="194" t="s">
        <v>265</v>
      </c>
      <c r="C79" s="1030"/>
    </row>
    <row r="80" spans="1:3" s="40" customFormat="1" ht="12" customHeight="1" thickBot="1" x14ac:dyDescent="0.2">
      <c r="A80" s="209" t="s">
        <v>266</v>
      </c>
      <c r="B80" s="111" t="s">
        <v>267</v>
      </c>
      <c r="C80" s="276">
        <f>SUM(C81:C83)</f>
        <v>48966750</v>
      </c>
    </row>
    <row r="81" spans="1:4" s="41" customFormat="1" ht="12" customHeight="1" x14ac:dyDescent="0.2">
      <c r="A81" s="206" t="s">
        <v>288</v>
      </c>
      <c r="B81" s="192" t="s">
        <v>268</v>
      </c>
      <c r="C81" s="1030">
        <v>48966750</v>
      </c>
    </row>
    <row r="82" spans="1:4" s="41" customFormat="1" ht="12" customHeight="1" x14ac:dyDescent="0.2">
      <c r="A82" s="207" t="s">
        <v>289</v>
      </c>
      <c r="B82" s="193" t="s">
        <v>269</v>
      </c>
      <c r="C82" s="1030"/>
    </row>
    <row r="83" spans="1:4" s="41" customFormat="1" ht="12" customHeight="1" thickBot="1" x14ac:dyDescent="0.25">
      <c r="A83" s="208" t="s">
        <v>290</v>
      </c>
      <c r="B83" s="194" t="s">
        <v>270</v>
      </c>
      <c r="C83" s="1030"/>
    </row>
    <row r="84" spans="1:4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</row>
    <row r="85" spans="1:4" s="41" customFormat="1" ht="12" customHeight="1" x14ac:dyDescent="0.2">
      <c r="A85" s="210" t="s">
        <v>272</v>
      </c>
      <c r="B85" s="192" t="s">
        <v>273</v>
      </c>
      <c r="C85" s="1030"/>
    </row>
    <row r="86" spans="1:4" s="41" customFormat="1" ht="12" customHeight="1" x14ac:dyDescent="0.2">
      <c r="A86" s="211" t="s">
        <v>274</v>
      </c>
      <c r="B86" s="193" t="s">
        <v>275</v>
      </c>
      <c r="C86" s="1030"/>
    </row>
    <row r="87" spans="1:4" s="41" customFormat="1" ht="12" customHeight="1" x14ac:dyDescent="0.2">
      <c r="A87" s="211" t="s">
        <v>276</v>
      </c>
      <c r="B87" s="193" t="s">
        <v>277</v>
      </c>
      <c r="C87" s="1030"/>
    </row>
    <row r="88" spans="1:4" s="40" customFormat="1" ht="12" customHeight="1" thickBot="1" x14ac:dyDescent="0.25">
      <c r="A88" s="212" t="s">
        <v>278</v>
      </c>
      <c r="B88" s="194" t="s">
        <v>279</v>
      </c>
      <c r="C88" s="1030"/>
    </row>
    <row r="89" spans="1:4" s="40" customFormat="1" ht="12" customHeight="1" thickBot="1" x14ac:dyDescent="0.2">
      <c r="A89" s="209" t="s">
        <v>280</v>
      </c>
      <c r="B89" s="111" t="s">
        <v>444</v>
      </c>
      <c r="C89" s="281"/>
    </row>
    <row r="90" spans="1:4" s="40" customFormat="1" ht="12" customHeight="1" thickBot="1" x14ac:dyDescent="0.2">
      <c r="A90" s="209" t="s">
        <v>496</v>
      </c>
      <c r="B90" s="111" t="s">
        <v>281</v>
      </c>
      <c r="C90" s="281"/>
    </row>
    <row r="91" spans="1:4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1765021094</v>
      </c>
    </row>
    <row r="92" spans="1:4" s="40" customFormat="1" ht="12" customHeight="1" thickBot="1" x14ac:dyDescent="0.2">
      <c r="A92" s="213" t="s">
        <v>498</v>
      </c>
      <c r="B92" s="200" t="s">
        <v>499</v>
      </c>
      <c r="C92" s="279">
        <f>+C67+C91</f>
        <v>3693574910</v>
      </c>
      <c r="D92" s="33"/>
    </row>
    <row r="93" spans="1:4" s="41" customFormat="1" ht="15" customHeight="1" thickBot="1" x14ac:dyDescent="0.25">
      <c r="A93" s="93"/>
      <c r="B93" s="94"/>
      <c r="C93" s="169"/>
    </row>
    <row r="94" spans="1:4" s="32" customFormat="1" ht="16.5" customHeight="1" thickBot="1" x14ac:dyDescent="0.25">
      <c r="A94" s="97"/>
      <c r="B94" s="98" t="s">
        <v>57</v>
      </c>
      <c r="C94" s="171"/>
    </row>
    <row r="95" spans="1:4" s="906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732080221</v>
      </c>
    </row>
    <row r="96" spans="1:4" ht="12" customHeight="1" x14ac:dyDescent="0.2">
      <c r="A96" s="214" t="s">
        <v>97</v>
      </c>
      <c r="B96" s="7" t="s">
        <v>49</v>
      </c>
      <c r="C96" s="1033">
        <v>44363489</v>
      </c>
    </row>
    <row r="97" spans="1:3" ht="12" customHeight="1" x14ac:dyDescent="0.2">
      <c r="A97" s="207" t="s">
        <v>98</v>
      </c>
      <c r="B97" s="5" t="s">
        <v>146</v>
      </c>
      <c r="C97" s="1030">
        <v>6548579</v>
      </c>
    </row>
    <row r="98" spans="1:3" ht="12" customHeight="1" x14ac:dyDescent="0.2">
      <c r="A98" s="207" t="s">
        <v>99</v>
      </c>
      <c r="B98" s="5" t="s">
        <v>122</v>
      </c>
      <c r="C98" s="1031">
        <f>317246579+107725</f>
        <v>317354304</v>
      </c>
    </row>
    <row r="99" spans="1:3" ht="12" customHeight="1" x14ac:dyDescent="0.2">
      <c r="A99" s="207" t="s">
        <v>100</v>
      </c>
      <c r="B99" s="8" t="s">
        <v>147</v>
      </c>
      <c r="C99" s="1031">
        <v>56500000</v>
      </c>
    </row>
    <row r="100" spans="1:3" ht="12" customHeight="1" x14ac:dyDescent="0.2">
      <c r="A100" s="207" t="s">
        <v>111</v>
      </c>
      <c r="B100" s="16" t="s">
        <v>148</v>
      </c>
      <c r="C100" s="1031">
        <f>SUM(C101:C112)</f>
        <v>190934698</v>
      </c>
    </row>
    <row r="101" spans="1:3" ht="12" customHeight="1" x14ac:dyDescent="0.2">
      <c r="A101" s="207" t="s">
        <v>101</v>
      </c>
      <c r="B101" s="5" t="s">
        <v>500</v>
      </c>
      <c r="C101" s="1031">
        <v>140000</v>
      </c>
    </row>
    <row r="102" spans="1:3" ht="12" customHeight="1" x14ac:dyDescent="0.2">
      <c r="A102" s="207" t="s">
        <v>102</v>
      </c>
      <c r="B102" s="60" t="s">
        <v>449</v>
      </c>
      <c r="C102" s="1031"/>
    </row>
    <row r="103" spans="1:3" ht="12" customHeight="1" x14ac:dyDescent="0.2">
      <c r="A103" s="207" t="s">
        <v>112</v>
      </c>
      <c r="B103" s="60" t="s">
        <v>450</v>
      </c>
      <c r="C103" s="1031">
        <v>24566831</v>
      </c>
    </row>
    <row r="104" spans="1:3" ht="12" customHeight="1" x14ac:dyDescent="0.2">
      <c r="A104" s="207" t="s">
        <v>113</v>
      </c>
      <c r="B104" s="60" t="s">
        <v>297</v>
      </c>
      <c r="C104" s="1031"/>
    </row>
    <row r="105" spans="1:3" ht="12" customHeight="1" x14ac:dyDescent="0.2">
      <c r="A105" s="207" t="s">
        <v>114</v>
      </c>
      <c r="B105" s="61" t="s">
        <v>298</v>
      </c>
      <c r="C105" s="1031"/>
    </row>
    <row r="106" spans="1:3" ht="12" customHeight="1" x14ac:dyDescent="0.2">
      <c r="A106" s="207" t="s">
        <v>115</v>
      </c>
      <c r="B106" s="61" t="s">
        <v>299</v>
      </c>
      <c r="C106" s="1031"/>
    </row>
    <row r="107" spans="1:3" ht="12" customHeight="1" x14ac:dyDescent="0.2">
      <c r="A107" s="207" t="s">
        <v>117</v>
      </c>
      <c r="B107" s="60" t="s">
        <v>300</v>
      </c>
      <c r="C107" s="1031">
        <v>636000</v>
      </c>
    </row>
    <row r="108" spans="1:3" ht="12" customHeight="1" x14ac:dyDescent="0.2">
      <c r="A108" s="207" t="s">
        <v>149</v>
      </c>
      <c r="B108" s="60" t="s">
        <v>301</v>
      </c>
      <c r="C108" s="580"/>
    </row>
    <row r="109" spans="1:3" ht="12" customHeight="1" x14ac:dyDescent="0.2">
      <c r="A109" s="207" t="s">
        <v>295</v>
      </c>
      <c r="B109" s="61" t="s">
        <v>302</v>
      </c>
      <c r="C109" s="1031"/>
    </row>
    <row r="110" spans="1:3" ht="12" customHeight="1" x14ac:dyDescent="0.2">
      <c r="A110" s="215" t="s">
        <v>296</v>
      </c>
      <c r="B110" s="62" t="s">
        <v>303</v>
      </c>
      <c r="C110" s="1031"/>
    </row>
    <row r="111" spans="1:3" ht="12" customHeight="1" x14ac:dyDescent="0.2">
      <c r="A111" s="207" t="s">
        <v>451</v>
      </c>
      <c r="B111" s="62" t="s">
        <v>304</v>
      </c>
      <c r="C111" s="1031"/>
    </row>
    <row r="112" spans="1:3" ht="12" customHeight="1" x14ac:dyDescent="0.2">
      <c r="A112" s="207" t="s">
        <v>452</v>
      </c>
      <c r="B112" s="61" t="s">
        <v>305</v>
      </c>
      <c r="C112" s="1030">
        <v>165591867</v>
      </c>
    </row>
    <row r="113" spans="1:3" ht="12" customHeight="1" x14ac:dyDescent="0.2">
      <c r="A113" s="207" t="s">
        <v>453</v>
      </c>
      <c r="B113" s="8" t="s">
        <v>50</v>
      </c>
      <c r="C113" s="1030">
        <f>SUM(C114:C115)</f>
        <v>116379151</v>
      </c>
    </row>
    <row r="114" spans="1:3" ht="12" customHeight="1" x14ac:dyDescent="0.2">
      <c r="A114" s="208" t="s">
        <v>454</v>
      </c>
      <c r="B114" s="5" t="s">
        <v>501</v>
      </c>
      <c r="C114" s="1031">
        <v>10000000</v>
      </c>
    </row>
    <row r="115" spans="1:3" ht="12" customHeight="1" thickBot="1" x14ac:dyDescent="0.25">
      <c r="A115" s="216" t="s">
        <v>456</v>
      </c>
      <c r="B115" s="63" t="s">
        <v>502</v>
      </c>
      <c r="C115" s="295">
        <f>99315612+4715+7058824</f>
        <v>106379151</v>
      </c>
    </row>
    <row r="116" spans="1:3" ht="12" customHeight="1" thickBot="1" x14ac:dyDescent="0.25">
      <c r="A116" s="25" t="s">
        <v>20</v>
      </c>
      <c r="B116" s="22" t="s">
        <v>306</v>
      </c>
      <c r="C116" s="276">
        <f>+C117+C119+C121</f>
        <v>801416744</v>
      </c>
    </row>
    <row r="117" spans="1:3" ht="12" customHeight="1" x14ac:dyDescent="0.2">
      <c r="A117" s="206" t="s">
        <v>103</v>
      </c>
      <c r="B117" s="5" t="s">
        <v>170</v>
      </c>
      <c r="C117" s="1032">
        <v>438159730</v>
      </c>
    </row>
    <row r="118" spans="1:3" ht="12" customHeight="1" x14ac:dyDescent="0.2">
      <c r="A118" s="206" t="s">
        <v>104</v>
      </c>
      <c r="B118" s="9" t="s">
        <v>310</v>
      </c>
      <c r="C118" s="1032">
        <v>401925076</v>
      </c>
    </row>
    <row r="119" spans="1:3" ht="12" customHeight="1" x14ac:dyDescent="0.2">
      <c r="A119" s="206" t="s">
        <v>105</v>
      </c>
      <c r="B119" s="9" t="s">
        <v>150</v>
      </c>
      <c r="C119" s="1030">
        <v>357345208</v>
      </c>
    </row>
    <row r="120" spans="1:3" ht="12" customHeight="1" x14ac:dyDescent="0.2">
      <c r="A120" s="206" t="s">
        <v>106</v>
      </c>
      <c r="B120" s="9" t="s">
        <v>311</v>
      </c>
      <c r="C120" s="1030">
        <f>80032238+2424+210655116</f>
        <v>290689778</v>
      </c>
    </row>
    <row r="121" spans="1:3" ht="12" customHeight="1" x14ac:dyDescent="0.2">
      <c r="A121" s="206" t="s">
        <v>107</v>
      </c>
      <c r="B121" s="113" t="s">
        <v>172</v>
      </c>
      <c r="C121" s="1031">
        <f>SUM(C122:C129)</f>
        <v>5911806</v>
      </c>
    </row>
    <row r="122" spans="1:3" ht="12" customHeight="1" x14ac:dyDescent="0.2">
      <c r="A122" s="206" t="s">
        <v>116</v>
      </c>
      <c r="B122" s="112" t="s">
        <v>373</v>
      </c>
      <c r="C122" s="105"/>
    </row>
    <row r="123" spans="1:3" ht="12" customHeight="1" x14ac:dyDescent="0.2">
      <c r="A123" s="206" t="s">
        <v>118</v>
      </c>
      <c r="B123" s="188" t="s">
        <v>316</v>
      </c>
      <c r="C123" s="105"/>
    </row>
    <row r="124" spans="1:3" ht="12" customHeight="1" x14ac:dyDescent="0.2">
      <c r="A124" s="206" t="s">
        <v>151</v>
      </c>
      <c r="B124" s="61" t="s">
        <v>299</v>
      </c>
      <c r="C124" s="105"/>
    </row>
    <row r="125" spans="1:3" ht="12" customHeight="1" x14ac:dyDescent="0.2">
      <c r="A125" s="206" t="s">
        <v>152</v>
      </c>
      <c r="B125" s="61" t="s">
        <v>315</v>
      </c>
      <c r="C125" s="105"/>
    </row>
    <row r="126" spans="1:3" ht="12" customHeight="1" x14ac:dyDescent="0.2">
      <c r="A126" s="206" t="s">
        <v>153</v>
      </c>
      <c r="B126" s="61" t="s">
        <v>314</v>
      </c>
      <c r="C126" s="105"/>
    </row>
    <row r="127" spans="1:3" ht="12" customHeight="1" x14ac:dyDescent="0.2">
      <c r="A127" s="206" t="s">
        <v>307</v>
      </c>
      <c r="B127" s="61" t="s">
        <v>302</v>
      </c>
      <c r="C127" s="105"/>
    </row>
    <row r="128" spans="1:3" ht="12" customHeight="1" x14ac:dyDescent="0.2">
      <c r="A128" s="206" t="s">
        <v>308</v>
      </c>
      <c r="B128" s="61" t="s">
        <v>313</v>
      </c>
      <c r="C128" s="105"/>
    </row>
    <row r="129" spans="1:9" ht="12" customHeight="1" thickBot="1" x14ac:dyDescent="0.25">
      <c r="A129" s="215" t="s">
        <v>309</v>
      </c>
      <c r="B129" s="61" t="s">
        <v>312</v>
      </c>
      <c r="C129" s="106">
        <v>5911806</v>
      </c>
    </row>
    <row r="130" spans="1:9" ht="12" customHeight="1" thickBot="1" x14ac:dyDescent="0.25">
      <c r="A130" s="25" t="s">
        <v>21</v>
      </c>
      <c r="B130" s="56" t="s">
        <v>458</v>
      </c>
      <c r="C130" s="276">
        <f>+C95+C116</f>
        <v>1533496965</v>
      </c>
      <c r="D130" s="269"/>
    </row>
    <row r="131" spans="1:9" ht="12" customHeight="1" thickBot="1" x14ac:dyDescent="0.25">
      <c r="A131" s="25" t="s">
        <v>22</v>
      </c>
      <c r="B131" s="56" t="s">
        <v>459</v>
      </c>
      <c r="C131" s="276">
        <f>+C132+C133+C134</f>
        <v>873325747</v>
      </c>
    </row>
    <row r="132" spans="1:9" s="906" customFormat="1" ht="12" customHeight="1" x14ac:dyDescent="0.2">
      <c r="A132" s="206" t="s">
        <v>208</v>
      </c>
      <c r="B132" s="6" t="s">
        <v>503</v>
      </c>
      <c r="C132" s="1030">
        <v>23325747</v>
      </c>
    </row>
    <row r="133" spans="1:9" ht="12" customHeight="1" x14ac:dyDescent="0.2">
      <c r="A133" s="206" t="s">
        <v>211</v>
      </c>
      <c r="B133" s="6" t="s">
        <v>461</v>
      </c>
      <c r="C133" s="105">
        <v>850000000</v>
      </c>
    </row>
    <row r="134" spans="1:9" ht="12" customHeight="1" thickBot="1" x14ac:dyDescent="0.25">
      <c r="A134" s="215" t="s">
        <v>212</v>
      </c>
      <c r="B134" s="4" t="s">
        <v>504</v>
      </c>
      <c r="C134" s="105"/>
    </row>
    <row r="135" spans="1:9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</row>
    <row r="136" spans="1:9" ht="12" customHeight="1" x14ac:dyDescent="0.2">
      <c r="A136" s="206" t="s">
        <v>90</v>
      </c>
      <c r="B136" s="6" t="s">
        <v>464</v>
      </c>
      <c r="C136" s="105"/>
    </row>
    <row r="137" spans="1:9" ht="12" customHeight="1" x14ac:dyDescent="0.2">
      <c r="A137" s="206" t="s">
        <v>91</v>
      </c>
      <c r="B137" s="6" t="s">
        <v>465</v>
      </c>
      <c r="C137" s="105"/>
    </row>
    <row r="138" spans="1:9" ht="12" customHeight="1" x14ac:dyDescent="0.2">
      <c r="A138" s="206" t="s">
        <v>92</v>
      </c>
      <c r="B138" s="6" t="s">
        <v>466</v>
      </c>
      <c r="C138" s="105"/>
    </row>
    <row r="139" spans="1:9" ht="12" customHeight="1" x14ac:dyDescent="0.2">
      <c r="A139" s="206" t="s">
        <v>138</v>
      </c>
      <c r="B139" s="6" t="s">
        <v>505</v>
      </c>
      <c r="C139" s="105"/>
    </row>
    <row r="140" spans="1:9" ht="12" customHeight="1" x14ac:dyDescent="0.2">
      <c r="A140" s="206" t="s">
        <v>139</v>
      </c>
      <c r="B140" s="6" t="s">
        <v>468</v>
      </c>
      <c r="C140" s="105"/>
    </row>
    <row r="141" spans="1:9" s="906" customFormat="1" ht="12" customHeight="1" thickBot="1" x14ac:dyDescent="0.25">
      <c r="A141" s="215" t="s">
        <v>140</v>
      </c>
      <c r="B141" s="4" t="s">
        <v>469</v>
      </c>
      <c r="C141" s="105"/>
    </row>
    <row r="142" spans="1:9" ht="12" customHeight="1" thickBot="1" x14ac:dyDescent="0.25">
      <c r="A142" s="25" t="s">
        <v>24</v>
      </c>
      <c r="B142" s="56" t="s">
        <v>506</v>
      </c>
      <c r="C142" s="279">
        <f>+C143+C144+C145+C146</f>
        <v>48966750</v>
      </c>
      <c r="I142" s="104"/>
    </row>
    <row r="143" spans="1:9" x14ac:dyDescent="0.2">
      <c r="A143" s="206" t="s">
        <v>93</v>
      </c>
      <c r="B143" s="6" t="s">
        <v>317</v>
      </c>
      <c r="C143" s="105"/>
    </row>
    <row r="144" spans="1:9" ht="12" customHeight="1" x14ac:dyDescent="0.2">
      <c r="A144" s="206" t="s">
        <v>94</v>
      </c>
      <c r="B144" s="6" t="s">
        <v>318</v>
      </c>
      <c r="C144" s="105">
        <v>48966750</v>
      </c>
    </row>
    <row r="145" spans="1:4" s="906" customFormat="1" ht="12" customHeight="1" x14ac:dyDescent="0.2">
      <c r="A145" s="206" t="s">
        <v>231</v>
      </c>
      <c r="B145" s="6" t="s">
        <v>471</v>
      </c>
      <c r="C145" s="105"/>
    </row>
    <row r="146" spans="1:4" s="906" customFormat="1" ht="12" customHeight="1" thickBot="1" x14ac:dyDescent="0.25">
      <c r="A146" s="215" t="s">
        <v>232</v>
      </c>
      <c r="B146" s="4" t="s">
        <v>336</v>
      </c>
      <c r="C146" s="105"/>
    </row>
    <row r="147" spans="1:4" s="906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</row>
    <row r="148" spans="1:4" s="906" customFormat="1" ht="12" customHeight="1" x14ac:dyDescent="0.2">
      <c r="A148" s="206" t="s">
        <v>95</v>
      </c>
      <c r="B148" s="6" t="s">
        <v>473</v>
      </c>
      <c r="C148" s="105"/>
    </row>
    <row r="149" spans="1:4" s="906" customFormat="1" ht="12" customHeight="1" x14ac:dyDescent="0.2">
      <c r="A149" s="206" t="s">
        <v>96</v>
      </c>
      <c r="B149" s="6" t="s">
        <v>474</v>
      </c>
      <c r="C149" s="105"/>
    </row>
    <row r="150" spans="1:4" s="906" customFormat="1" ht="12" customHeight="1" x14ac:dyDescent="0.2">
      <c r="A150" s="206" t="s">
        <v>243</v>
      </c>
      <c r="B150" s="6" t="s">
        <v>475</v>
      </c>
      <c r="C150" s="105"/>
    </row>
    <row r="151" spans="1:4" ht="12.75" customHeight="1" x14ac:dyDescent="0.2">
      <c r="A151" s="206" t="s">
        <v>244</v>
      </c>
      <c r="B151" s="6" t="s">
        <v>507</v>
      </c>
      <c r="C151" s="105"/>
    </row>
    <row r="152" spans="1:4" ht="12.75" customHeight="1" thickBot="1" x14ac:dyDescent="0.25">
      <c r="A152" s="215" t="s">
        <v>477</v>
      </c>
      <c r="B152" s="4" t="s">
        <v>478</v>
      </c>
      <c r="C152" s="106"/>
    </row>
    <row r="153" spans="1:4" ht="12.75" customHeight="1" thickBot="1" x14ac:dyDescent="0.25">
      <c r="A153" s="263" t="s">
        <v>26</v>
      </c>
      <c r="B153" s="56" t="s">
        <v>479</v>
      </c>
      <c r="C153" s="286"/>
    </row>
    <row r="154" spans="1:4" ht="12" customHeight="1" thickBot="1" x14ac:dyDescent="0.25">
      <c r="A154" s="263" t="s">
        <v>27</v>
      </c>
      <c r="B154" s="56" t="s">
        <v>480</v>
      </c>
      <c r="C154" s="286"/>
    </row>
    <row r="155" spans="1:4" ht="15" customHeight="1" thickBot="1" x14ac:dyDescent="0.25">
      <c r="A155" s="25" t="s">
        <v>28</v>
      </c>
      <c r="B155" s="56" t="s">
        <v>481</v>
      </c>
      <c r="C155" s="287">
        <f>+C131+C135+C142+C147+C153+C154</f>
        <v>922292497</v>
      </c>
    </row>
    <row r="156" spans="1:4" ht="13.5" thickBot="1" x14ac:dyDescent="0.25">
      <c r="A156" s="217" t="s">
        <v>29</v>
      </c>
      <c r="B156" s="177" t="s">
        <v>482</v>
      </c>
      <c r="C156" s="287">
        <f>+C130+C155</f>
        <v>2455789462</v>
      </c>
      <c r="D156" s="904"/>
    </row>
    <row r="157" spans="1:4" ht="15" customHeight="1" thickBot="1" x14ac:dyDescent="0.25"/>
    <row r="158" spans="1:4" ht="14.25" customHeight="1" thickBot="1" x14ac:dyDescent="0.25">
      <c r="A158" s="101" t="s">
        <v>508</v>
      </c>
      <c r="B158" s="102"/>
      <c r="C158" s="55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7" max="2" man="1"/>
    <brk id="9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8"/>
  <sheetViews>
    <sheetView topLeftCell="A136" zoomScale="115" zoomScaleNormal="115" zoomScaleSheetLayoutView="85" workbookViewId="0">
      <selection activeCell="B150" sqref="B150"/>
    </sheetView>
  </sheetViews>
  <sheetFormatPr defaultRowHeight="12.75" x14ac:dyDescent="0.2"/>
  <cols>
    <col min="1" max="1" width="19.5" style="389" customWidth="1"/>
    <col min="2" max="2" width="72" style="390" customWidth="1"/>
    <col min="3" max="3" width="25" style="391" customWidth="1"/>
    <col min="4" max="4" width="13.33203125" style="902" customWidth="1"/>
    <col min="5" max="5" width="16.1640625" style="902" customWidth="1"/>
    <col min="6" max="16384" width="9.33203125" style="902"/>
  </cols>
  <sheetData>
    <row r="1" spans="1:5" x14ac:dyDescent="0.2">
      <c r="A1" s="1465" t="str">
        <f>CONCATENATE("9.1.2. melléklet"," ",ALAPADATOK!A7," ",ALAPADATOK!B7," ",ALAPADATOK!C7," ",ALAPADATOK!D7," ",ALAPADATOK!E7," ",ALAPADATOK!F7," ",ALAPADATOK!G7," ",ALAPADATOK!H7)</f>
        <v>9.1.2. melléklet a 2 / 2021. ( II.15. ) önkormányzati rendelethez</v>
      </c>
      <c r="B1" s="1465"/>
      <c r="C1" s="1465"/>
    </row>
    <row r="2" spans="1:5" s="1" customFormat="1" ht="16.5" customHeight="1" thickBot="1" x14ac:dyDescent="0.25">
      <c r="A2" s="79"/>
      <c r="B2" s="81"/>
      <c r="C2" s="103"/>
    </row>
    <row r="3" spans="1:5" s="38" customFormat="1" ht="21" customHeight="1" x14ac:dyDescent="0.2">
      <c r="A3" s="182" t="s">
        <v>62</v>
      </c>
      <c r="B3" s="161" t="s">
        <v>167</v>
      </c>
      <c r="C3" s="163" t="s">
        <v>53</v>
      </c>
    </row>
    <row r="4" spans="1:5" s="38" customFormat="1" ht="16.5" thickBot="1" x14ac:dyDescent="0.25">
      <c r="A4" s="82" t="s">
        <v>163</v>
      </c>
      <c r="B4" s="162" t="s">
        <v>375</v>
      </c>
      <c r="C4" s="262" t="s">
        <v>61</v>
      </c>
    </row>
    <row r="5" spans="1:5" s="39" customFormat="1" ht="15.95" customHeight="1" thickBot="1" x14ac:dyDescent="0.3">
      <c r="A5" s="83"/>
      <c r="B5" s="83"/>
      <c r="C5" s="84" t="s">
        <v>540</v>
      </c>
    </row>
    <row r="6" spans="1:5" ht="13.5" thickBot="1" x14ac:dyDescent="0.25">
      <c r="A6" s="183" t="s">
        <v>165</v>
      </c>
      <c r="B6" s="85" t="s">
        <v>54</v>
      </c>
      <c r="C6" s="164" t="s">
        <v>55</v>
      </c>
    </row>
    <row r="7" spans="1:5" s="32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5" s="32" customFormat="1" ht="15.95" customHeight="1" thickBot="1" x14ac:dyDescent="0.25">
      <c r="A8" s="87"/>
      <c r="B8" s="88" t="s">
        <v>56</v>
      </c>
      <c r="C8" s="165"/>
    </row>
    <row r="9" spans="1:5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312152317</v>
      </c>
      <c r="D9" s="922"/>
      <c r="E9" s="883"/>
    </row>
    <row r="10" spans="1:5" s="40" customFormat="1" ht="12" customHeight="1" x14ac:dyDescent="0.2">
      <c r="A10" s="206" t="s">
        <v>97</v>
      </c>
      <c r="B10" s="192" t="s">
        <v>193</v>
      </c>
      <c r="C10" s="278"/>
      <c r="D10" s="922"/>
      <c r="E10" s="883"/>
    </row>
    <row r="11" spans="1:5" s="41" customFormat="1" ht="12" customHeight="1" x14ac:dyDescent="0.2">
      <c r="A11" s="207" t="s">
        <v>98</v>
      </c>
      <c r="B11" s="193" t="s">
        <v>194</v>
      </c>
      <c r="C11" s="105"/>
      <c r="D11" s="922"/>
      <c r="E11" s="883"/>
    </row>
    <row r="12" spans="1:5" s="41" customFormat="1" ht="12" customHeight="1" x14ac:dyDescent="0.2">
      <c r="A12" s="207" t="s">
        <v>99</v>
      </c>
      <c r="B12" s="193" t="s">
        <v>820</v>
      </c>
      <c r="C12" s="105">
        <f>C13+C14</f>
        <v>312152317</v>
      </c>
      <c r="D12" s="922"/>
      <c r="E12" s="883"/>
    </row>
    <row r="13" spans="1:5" s="41" customFormat="1" ht="12" customHeight="1" x14ac:dyDescent="0.2">
      <c r="A13" s="207" t="s">
        <v>818</v>
      </c>
      <c r="B13" s="193" t="s">
        <v>821</v>
      </c>
      <c r="C13" s="105">
        <v>312152317</v>
      </c>
      <c r="D13" s="922"/>
      <c r="E13" s="883"/>
    </row>
    <row r="14" spans="1:5" s="41" customFormat="1" ht="12" customHeight="1" x14ac:dyDescent="0.2">
      <c r="A14" s="207" t="s">
        <v>819</v>
      </c>
      <c r="B14" s="193" t="s">
        <v>822</v>
      </c>
      <c r="C14" s="105"/>
      <c r="D14" s="922"/>
      <c r="E14" s="883"/>
    </row>
    <row r="15" spans="1:5" s="41" customFormat="1" ht="12" customHeight="1" x14ac:dyDescent="0.2">
      <c r="A15" s="207" t="s">
        <v>100</v>
      </c>
      <c r="B15" s="193" t="s">
        <v>196</v>
      </c>
      <c r="C15" s="105"/>
      <c r="D15" s="922"/>
      <c r="E15" s="883"/>
    </row>
    <row r="16" spans="1:5" s="41" customFormat="1" ht="12" customHeight="1" x14ac:dyDescent="0.2">
      <c r="A16" s="207" t="s">
        <v>123</v>
      </c>
      <c r="B16" s="193" t="s">
        <v>495</v>
      </c>
      <c r="C16" s="1030"/>
      <c r="D16" s="922"/>
      <c r="E16" s="883"/>
    </row>
    <row r="17" spans="1:5" s="40" customFormat="1" ht="12" customHeight="1" thickBot="1" x14ac:dyDescent="0.25">
      <c r="A17" s="208" t="s">
        <v>101</v>
      </c>
      <c r="B17" s="194" t="s">
        <v>438</v>
      </c>
      <c r="C17" s="105"/>
      <c r="D17" s="922"/>
      <c r="E17" s="883"/>
    </row>
    <row r="18" spans="1:5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131599793</v>
      </c>
      <c r="D18" s="922"/>
      <c r="E18" s="883"/>
    </row>
    <row r="19" spans="1:5" s="40" customFormat="1" ht="12" customHeight="1" x14ac:dyDescent="0.2">
      <c r="A19" s="206" t="s">
        <v>103</v>
      </c>
      <c r="B19" s="192" t="s">
        <v>198</v>
      </c>
      <c r="C19" s="278"/>
      <c r="D19" s="922"/>
      <c r="E19" s="883"/>
    </row>
    <row r="20" spans="1:5" s="40" customFormat="1" ht="12" customHeight="1" x14ac:dyDescent="0.2">
      <c r="A20" s="207" t="s">
        <v>104</v>
      </c>
      <c r="B20" s="193" t="s">
        <v>199</v>
      </c>
      <c r="C20" s="105"/>
      <c r="D20" s="922"/>
      <c r="E20" s="883"/>
    </row>
    <row r="21" spans="1:5" s="40" customFormat="1" ht="12" customHeight="1" x14ac:dyDescent="0.2">
      <c r="A21" s="207" t="s">
        <v>105</v>
      </c>
      <c r="B21" s="193" t="s">
        <v>367</v>
      </c>
      <c r="C21" s="105"/>
      <c r="D21" s="922"/>
      <c r="E21" s="883"/>
    </row>
    <row r="22" spans="1:5" s="40" customFormat="1" ht="12" customHeight="1" x14ac:dyDescent="0.2">
      <c r="A22" s="207" t="s">
        <v>106</v>
      </c>
      <c r="B22" s="193" t="s">
        <v>368</v>
      </c>
      <c r="C22" s="105"/>
      <c r="D22" s="922"/>
      <c r="E22" s="883"/>
    </row>
    <row r="23" spans="1:5" s="40" customFormat="1" ht="12" customHeight="1" x14ac:dyDescent="0.2">
      <c r="A23" s="207" t="s">
        <v>107</v>
      </c>
      <c r="B23" s="193" t="s">
        <v>200</v>
      </c>
      <c r="C23" s="1030">
        <f>131199793+400000</f>
        <v>131599793</v>
      </c>
      <c r="D23" s="922"/>
      <c r="E23" s="883"/>
    </row>
    <row r="24" spans="1:5" s="41" customFormat="1" ht="12" customHeight="1" thickBot="1" x14ac:dyDescent="0.25">
      <c r="A24" s="208" t="s">
        <v>116</v>
      </c>
      <c r="B24" s="194" t="s">
        <v>201</v>
      </c>
      <c r="C24" s="1031"/>
      <c r="D24" s="922"/>
      <c r="E24" s="883"/>
    </row>
    <row r="25" spans="1:5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100100000</v>
      </c>
      <c r="D25" s="922"/>
      <c r="E25" s="883"/>
    </row>
    <row r="26" spans="1:5" s="41" customFormat="1" ht="12" customHeight="1" x14ac:dyDescent="0.2">
      <c r="A26" s="206" t="s">
        <v>86</v>
      </c>
      <c r="B26" s="192" t="s">
        <v>203</v>
      </c>
      <c r="C26" s="278"/>
      <c r="D26" s="922"/>
      <c r="E26" s="883"/>
    </row>
    <row r="27" spans="1:5" s="40" customFormat="1" ht="12" customHeight="1" x14ac:dyDescent="0.2">
      <c r="A27" s="207" t="s">
        <v>87</v>
      </c>
      <c r="B27" s="193" t="s">
        <v>204</v>
      </c>
      <c r="C27" s="105"/>
      <c r="D27" s="922"/>
      <c r="E27" s="883"/>
    </row>
    <row r="28" spans="1:5" s="41" customFormat="1" ht="12" customHeight="1" x14ac:dyDescent="0.2">
      <c r="A28" s="207" t="s">
        <v>88</v>
      </c>
      <c r="B28" s="193" t="s">
        <v>369</v>
      </c>
      <c r="C28" s="105"/>
      <c r="D28" s="922"/>
      <c r="E28" s="883"/>
    </row>
    <row r="29" spans="1:5" s="41" customFormat="1" ht="12" customHeight="1" x14ac:dyDescent="0.2">
      <c r="A29" s="207" t="s">
        <v>89</v>
      </c>
      <c r="B29" s="193" t="s">
        <v>370</v>
      </c>
      <c r="C29" s="105"/>
      <c r="D29" s="922"/>
      <c r="E29" s="883"/>
    </row>
    <row r="30" spans="1:5" s="41" customFormat="1" ht="12" customHeight="1" x14ac:dyDescent="0.2">
      <c r="A30" s="207" t="s">
        <v>134</v>
      </c>
      <c r="B30" s="193" t="s">
        <v>205</v>
      </c>
      <c r="C30" s="1030">
        <v>100100000</v>
      </c>
      <c r="D30" s="922"/>
      <c r="E30" s="883"/>
    </row>
    <row r="31" spans="1:5" s="41" customFormat="1" ht="12" customHeight="1" thickBot="1" x14ac:dyDescent="0.25">
      <c r="A31" s="208" t="s">
        <v>135</v>
      </c>
      <c r="B31" s="194" t="s">
        <v>206</v>
      </c>
      <c r="C31" s="1031"/>
      <c r="D31" s="922"/>
      <c r="E31" s="883"/>
    </row>
    <row r="32" spans="1:5" s="41" customFormat="1" ht="12" customHeight="1" thickBot="1" x14ac:dyDescent="0.25">
      <c r="A32" s="25" t="s">
        <v>136</v>
      </c>
      <c r="B32" s="18" t="s">
        <v>207</v>
      </c>
      <c r="C32" s="279">
        <f>+C33+C37+C38</f>
        <v>0</v>
      </c>
      <c r="D32" s="922"/>
      <c r="E32" s="883"/>
    </row>
    <row r="33" spans="1:5" s="41" customFormat="1" ht="12" customHeight="1" x14ac:dyDescent="0.2">
      <c r="A33" s="206" t="s">
        <v>208</v>
      </c>
      <c r="B33" s="192" t="s">
        <v>626</v>
      </c>
      <c r="C33" s="293">
        <f>SUM(C34:C35)</f>
        <v>0</v>
      </c>
      <c r="D33" s="922"/>
      <c r="E33" s="883"/>
    </row>
    <row r="34" spans="1:5" s="41" customFormat="1" ht="12" customHeight="1" x14ac:dyDescent="0.2">
      <c r="A34" s="207" t="s">
        <v>209</v>
      </c>
      <c r="B34" s="193" t="s">
        <v>214</v>
      </c>
      <c r="C34" s="105"/>
      <c r="D34" s="922"/>
      <c r="E34" s="883"/>
    </row>
    <row r="35" spans="1:5" s="41" customFormat="1" ht="12" customHeight="1" x14ac:dyDescent="0.2">
      <c r="A35" s="207" t="s">
        <v>210</v>
      </c>
      <c r="B35" s="250" t="s">
        <v>625</v>
      </c>
      <c r="C35" s="105"/>
      <c r="D35" s="922"/>
      <c r="E35" s="883"/>
    </row>
    <row r="36" spans="1:5" s="41" customFormat="1" ht="12" customHeight="1" x14ac:dyDescent="0.2">
      <c r="A36" s="207" t="s">
        <v>211</v>
      </c>
      <c r="B36" s="193" t="s">
        <v>523</v>
      </c>
      <c r="C36" s="105"/>
      <c r="D36" s="922"/>
      <c r="E36" s="883"/>
    </row>
    <row r="37" spans="1:5" s="41" customFormat="1" ht="12" customHeight="1" x14ac:dyDescent="0.2">
      <c r="A37" s="207" t="s">
        <v>212</v>
      </c>
      <c r="B37" s="193" t="s">
        <v>216</v>
      </c>
      <c r="C37" s="105"/>
      <c r="D37" s="922"/>
      <c r="E37" s="883"/>
    </row>
    <row r="38" spans="1:5" s="41" customFormat="1" ht="12" customHeight="1" thickBot="1" x14ac:dyDescent="0.25">
      <c r="A38" s="208" t="s">
        <v>213</v>
      </c>
      <c r="B38" s="194" t="s">
        <v>217</v>
      </c>
      <c r="C38" s="106"/>
      <c r="D38" s="922"/>
      <c r="E38" s="883"/>
    </row>
    <row r="39" spans="1:5" s="41" customFormat="1" ht="12" customHeight="1" thickBot="1" x14ac:dyDescent="0.25">
      <c r="A39" s="25" t="s">
        <v>23</v>
      </c>
      <c r="B39" s="18" t="s">
        <v>439</v>
      </c>
      <c r="C39" s="276">
        <f>SUM(C40:C50)</f>
        <v>26324300</v>
      </c>
      <c r="D39" s="922"/>
      <c r="E39" s="883"/>
    </row>
    <row r="40" spans="1:5" s="41" customFormat="1" ht="12" customHeight="1" x14ac:dyDescent="0.2">
      <c r="A40" s="206" t="s">
        <v>90</v>
      </c>
      <c r="B40" s="192" t="s">
        <v>220</v>
      </c>
      <c r="C40" s="278"/>
      <c r="D40" s="922"/>
      <c r="E40" s="883"/>
    </row>
    <row r="41" spans="1:5" s="41" customFormat="1" ht="12" customHeight="1" x14ac:dyDescent="0.2">
      <c r="A41" s="207" t="s">
        <v>91</v>
      </c>
      <c r="B41" s="193" t="s">
        <v>221</v>
      </c>
      <c r="C41" s="1030">
        <v>550000</v>
      </c>
      <c r="D41" s="922"/>
      <c r="E41" s="883"/>
    </row>
    <row r="42" spans="1:5" s="41" customFormat="1" ht="12" customHeight="1" x14ac:dyDescent="0.2">
      <c r="A42" s="207" t="s">
        <v>92</v>
      </c>
      <c r="B42" s="193" t="s">
        <v>222</v>
      </c>
      <c r="C42" s="1030"/>
      <c r="D42" s="922"/>
      <c r="E42" s="883"/>
    </row>
    <row r="43" spans="1:5" s="41" customFormat="1" ht="12" customHeight="1" x14ac:dyDescent="0.2">
      <c r="A43" s="207" t="s">
        <v>138</v>
      </c>
      <c r="B43" s="193" t="s">
        <v>223</v>
      </c>
      <c r="C43" s="105"/>
      <c r="D43" s="922"/>
      <c r="E43" s="883"/>
    </row>
    <row r="44" spans="1:5" s="41" customFormat="1" ht="12" customHeight="1" x14ac:dyDescent="0.2">
      <c r="A44" s="207" t="s">
        <v>139</v>
      </c>
      <c r="B44" s="193" t="s">
        <v>224</v>
      </c>
      <c r="C44" s="105"/>
      <c r="D44" s="922"/>
      <c r="E44" s="883"/>
    </row>
    <row r="45" spans="1:5" s="41" customFormat="1" ht="12" customHeight="1" x14ac:dyDescent="0.2">
      <c r="A45" s="207" t="s">
        <v>140</v>
      </c>
      <c r="B45" s="193" t="s">
        <v>225</v>
      </c>
      <c r="C45" s="105">
        <v>148500</v>
      </c>
      <c r="D45" s="922"/>
      <c r="E45" s="883"/>
    </row>
    <row r="46" spans="1:5" s="41" customFormat="1" ht="12" customHeight="1" x14ac:dyDescent="0.2">
      <c r="A46" s="207" t="s">
        <v>141</v>
      </c>
      <c r="B46" s="193" t="s">
        <v>226</v>
      </c>
      <c r="C46" s="105">
        <v>25525800</v>
      </c>
      <c r="D46" s="922"/>
      <c r="E46" s="883"/>
    </row>
    <row r="47" spans="1:5" s="41" customFormat="1" ht="12" customHeight="1" x14ac:dyDescent="0.2">
      <c r="A47" s="207" t="s">
        <v>142</v>
      </c>
      <c r="B47" s="193" t="s">
        <v>227</v>
      </c>
      <c r="C47" s="105"/>
      <c r="D47" s="922"/>
      <c r="E47" s="883"/>
    </row>
    <row r="48" spans="1:5" s="41" customFormat="1" ht="12" customHeight="1" x14ac:dyDescent="0.2">
      <c r="A48" s="207" t="s">
        <v>218</v>
      </c>
      <c r="B48" s="193" t="s">
        <v>228</v>
      </c>
      <c r="C48" s="1030"/>
      <c r="D48" s="922"/>
      <c r="E48" s="883"/>
    </row>
    <row r="49" spans="1:5" s="41" customFormat="1" ht="12" customHeight="1" x14ac:dyDescent="0.2">
      <c r="A49" s="208" t="s">
        <v>219</v>
      </c>
      <c r="B49" s="194" t="s">
        <v>440</v>
      </c>
      <c r="C49" s="1031"/>
      <c r="D49" s="922"/>
      <c r="E49" s="883"/>
    </row>
    <row r="50" spans="1:5" s="41" customFormat="1" ht="12" customHeight="1" thickBot="1" x14ac:dyDescent="0.25">
      <c r="A50" s="208" t="s">
        <v>441</v>
      </c>
      <c r="B50" s="194" t="s">
        <v>229</v>
      </c>
      <c r="C50" s="1031">
        <v>100000</v>
      </c>
      <c r="D50" s="922"/>
      <c r="E50" s="883"/>
    </row>
    <row r="51" spans="1:5" s="41" customFormat="1" ht="12" customHeight="1" thickBot="1" x14ac:dyDescent="0.25">
      <c r="A51" s="25" t="s">
        <v>24</v>
      </c>
      <c r="B51" s="18" t="s">
        <v>230</v>
      </c>
      <c r="C51" s="276">
        <f>SUM(C52:C56)</f>
        <v>0</v>
      </c>
      <c r="D51" s="922"/>
      <c r="E51" s="883"/>
    </row>
    <row r="52" spans="1:5" s="41" customFormat="1" ht="12" customHeight="1" x14ac:dyDescent="0.2">
      <c r="A52" s="206" t="s">
        <v>93</v>
      </c>
      <c r="B52" s="192" t="s">
        <v>234</v>
      </c>
      <c r="C52" s="1032"/>
      <c r="D52" s="922"/>
      <c r="E52" s="883"/>
    </row>
    <row r="53" spans="1:5" s="41" customFormat="1" ht="12" customHeight="1" x14ac:dyDescent="0.2">
      <c r="A53" s="207" t="s">
        <v>94</v>
      </c>
      <c r="B53" s="193" t="s">
        <v>235</v>
      </c>
      <c r="C53" s="1030"/>
      <c r="D53" s="922"/>
      <c r="E53" s="883"/>
    </row>
    <row r="54" spans="1:5" s="41" customFormat="1" ht="12" customHeight="1" x14ac:dyDescent="0.2">
      <c r="A54" s="207" t="s">
        <v>231</v>
      </c>
      <c r="B54" s="193" t="s">
        <v>236</v>
      </c>
      <c r="C54" s="1030"/>
      <c r="D54" s="922"/>
      <c r="E54" s="883"/>
    </row>
    <row r="55" spans="1:5" s="41" customFormat="1" ht="12" customHeight="1" x14ac:dyDescent="0.2">
      <c r="A55" s="207" t="s">
        <v>232</v>
      </c>
      <c r="B55" s="193" t="s">
        <v>237</v>
      </c>
      <c r="C55" s="1030"/>
      <c r="D55" s="922"/>
      <c r="E55" s="883"/>
    </row>
    <row r="56" spans="1:5" s="41" customFormat="1" ht="12" customHeight="1" thickBot="1" x14ac:dyDescent="0.25">
      <c r="A56" s="208" t="s">
        <v>233</v>
      </c>
      <c r="B56" s="194" t="s">
        <v>238</v>
      </c>
      <c r="C56" s="1031"/>
      <c r="D56" s="922"/>
      <c r="E56" s="883"/>
    </row>
    <row r="57" spans="1:5" s="41" customFormat="1" ht="12" customHeight="1" thickBot="1" x14ac:dyDescent="0.25">
      <c r="A57" s="25" t="s">
        <v>143</v>
      </c>
      <c r="B57" s="18" t="s">
        <v>239</v>
      </c>
      <c r="C57" s="276">
        <f>SUM(C58:C60)</f>
        <v>200000</v>
      </c>
      <c r="D57" s="922"/>
      <c r="E57" s="883"/>
    </row>
    <row r="58" spans="1:5" s="41" customFormat="1" ht="12" customHeight="1" x14ac:dyDescent="0.2">
      <c r="A58" s="206" t="s">
        <v>95</v>
      </c>
      <c r="B58" s="192" t="s">
        <v>240</v>
      </c>
      <c r="C58" s="278"/>
      <c r="D58" s="922"/>
      <c r="E58" s="883"/>
    </row>
    <row r="59" spans="1:5" s="41" customFormat="1" ht="12" customHeight="1" x14ac:dyDescent="0.2">
      <c r="A59" s="207" t="s">
        <v>96</v>
      </c>
      <c r="B59" s="193" t="s">
        <v>371</v>
      </c>
      <c r="C59" s="1030">
        <v>200000</v>
      </c>
      <c r="D59" s="922"/>
      <c r="E59" s="883"/>
    </row>
    <row r="60" spans="1:5" s="41" customFormat="1" ht="12" customHeight="1" x14ac:dyDescent="0.2">
      <c r="A60" s="207" t="s">
        <v>243</v>
      </c>
      <c r="B60" s="193" t="s">
        <v>241</v>
      </c>
      <c r="C60" s="1030"/>
      <c r="D60" s="922"/>
      <c r="E60" s="883"/>
    </row>
    <row r="61" spans="1:5" s="41" customFormat="1" ht="12" customHeight="1" thickBot="1" x14ac:dyDescent="0.25">
      <c r="A61" s="208" t="s">
        <v>244</v>
      </c>
      <c r="B61" s="194" t="s">
        <v>242</v>
      </c>
      <c r="C61" s="106"/>
      <c r="D61" s="922"/>
      <c r="E61" s="883"/>
    </row>
    <row r="62" spans="1:5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  <c r="D62" s="922"/>
      <c r="E62" s="883"/>
    </row>
    <row r="63" spans="1:5" s="41" customFormat="1" ht="12" customHeight="1" x14ac:dyDescent="0.2">
      <c r="A63" s="206" t="s">
        <v>144</v>
      </c>
      <c r="B63" s="192" t="s">
        <v>247</v>
      </c>
      <c r="C63" s="1030"/>
      <c r="D63" s="922"/>
      <c r="E63" s="883"/>
    </row>
    <row r="64" spans="1:5" s="41" customFormat="1" ht="12" customHeight="1" x14ac:dyDescent="0.2">
      <c r="A64" s="207" t="s">
        <v>145</v>
      </c>
      <c r="B64" s="193" t="s">
        <v>372</v>
      </c>
      <c r="C64" s="1030"/>
      <c r="D64" s="922"/>
      <c r="E64" s="883"/>
    </row>
    <row r="65" spans="1:5" s="41" customFormat="1" ht="12" customHeight="1" x14ac:dyDescent="0.2">
      <c r="A65" s="207" t="s">
        <v>171</v>
      </c>
      <c r="B65" s="193" t="s">
        <v>248</v>
      </c>
      <c r="C65" s="1030"/>
      <c r="D65" s="922"/>
      <c r="E65" s="883"/>
    </row>
    <row r="66" spans="1:5" s="41" customFormat="1" ht="12" customHeight="1" thickBot="1" x14ac:dyDescent="0.25">
      <c r="A66" s="208" t="s">
        <v>246</v>
      </c>
      <c r="B66" s="194" t="s">
        <v>249</v>
      </c>
      <c r="C66" s="1030"/>
      <c r="D66" s="922"/>
      <c r="E66" s="883"/>
    </row>
    <row r="67" spans="1:5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570376410</v>
      </c>
      <c r="D67" s="922"/>
      <c r="E67" s="883"/>
    </row>
    <row r="68" spans="1:5" s="41" customFormat="1" ht="12" customHeight="1" thickBot="1" x14ac:dyDescent="0.2">
      <c r="A68" s="209" t="s">
        <v>340</v>
      </c>
      <c r="B68" s="111" t="s">
        <v>252</v>
      </c>
      <c r="C68" s="276">
        <f>SUM(C69:C71)</f>
        <v>0</v>
      </c>
      <c r="D68" s="922"/>
      <c r="E68" s="883"/>
    </row>
    <row r="69" spans="1:5" s="41" customFormat="1" ht="12" customHeight="1" x14ac:dyDescent="0.2">
      <c r="A69" s="206" t="s">
        <v>283</v>
      </c>
      <c r="B69" s="192" t="s">
        <v>253</v>
      </c>
      <c r="C69" s="1030"/>
      <c r="D69" s="922"/>
      <c r="E69" s="883"/>
    </row>
    <row r="70" spans="1:5" s="41" customFormat="1" ht="12" customHeight="1" x14ac:dyDescent="0.2">
      <c r="A70" s="207" t="s">
        <v>292</v>
      </c>
      <c r="B70" s="193" t="s">
        <v>254</v>
      </c>
      <c r="C70" s="1030"/>
      <c r="D70" s="922"/>
      <c r="E70" s="883"/>
    </row>
    <row r="71" spans="1:5" s="41" customFormat="1" ht="12" customHeight="1" thickBot="1" x14ac:dyDescent="0.25">
      <c r="A71" s="208" t="s">
        <v>293</v>
      </c>
      <c r="B71" s="195" t="s">
        <v>255</v>
      </c>
      <c r="C71" s="1030"/>
      <c r="D71" s="922"/>
      <c r="E71" s="883"/>
    </row>
    <row r="72" spans="1:5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  <c r="D72" s="922"/>
      <c r="E72" s="883"/>
    </row>
    <row r="73" spans="1:5" s="41" customFormat="1" ht="12" customHeight="1" x14ac:dyDescent="0.2">
      <c r="A73" s="206" t="s">
        <v>124</v>
      </c>
      <c r="B73" s="192" t="s">
        <v>258</v>
      </c>
      <c r="C73" s="1030"/>
      <c r="D73" s="922"/>
      <c r="E73" s="883"/>
    </row>
    <row r="74" spans="1:5" s="41" customFormat="1" ht="12" customHeight="1" x14ac:dyDescent="0.2">
      <c r="A74" s="207" t="s">
        <v>125</v>
      </c>
      <c r="B74" s="193" t="s">
        <v>259</v>
      </c>
      <c r="C74" s="1030"/>
      <c r="D74" s="922"/>
      <c r="E74" s="883"/>
    </row>
    <row r="75" spans="1:5" s="41" customFormat="1" ht="12" customHeight="1" x14ac:dyDescent="0.2">
      <c r="A75" s="207" t="s">
        <v>284</v>
      </c>
      <c r="B75" s="193" t="s">
        <v>260</v>
      </c>
      <c r="C75" s="1030"/>
      <c r="D75" s="922"/>
      <c r="E75" s="883"/>
    </row>
    <row r="76" spans="1:5" s="41" customFormat="1" ht="12" customHeight="1" thickBot="1" x14ac:dyDescent="0.25">
      <c r="A76" s="208" t="s">
        <v>285</v>
      </c>
      <c r="B76" s="194" t="s">
        <v>261</v>
      </c>
      <c r="C76" s="1030"/>
      <c r="D76" s="922"/>
      <c r="E76" s="883"/>
    </row>
    <row r="77" spans="1:5" s="41" customFormat="1" ht="12" customHeight="1" thickBot="1" x14ac:dyDescent="0.2">
      <c r="A77" s="209" t="s">
        <v>262</v>
      </c>
      <c r="B77" s="111" t="s">
        <v>263</v>
      </c>
      <c r="C77" s="276">
        <f>SUM(C78:C79)</f>
        <v>0</v>
      </c>
      <c r="D77" s="922"/>
      <c r="E77" s="883"/>
    </row>
    <row r="78" spans="1:5" s="41" customFormat="1" ht="12" customHeight="1" x14ac:dyDescent="0.2">
      <c r="A78" s="206" t="s">
        <v>286</v>
      </c>
      <c r="B78" s="192" t="s">
        <v>264</v>
      </c>
      <c r="C78" s="1030"/>
      <c r="D78" s="922"/>
      <c r="E78" s="883"/>
    </row>
    <row r="79" spans="1:5" s="41" customFormat="1" ht="12" customHeight="1" thickBot="1" x14ac:dyDescent="0.25">
      <c r="A79" s="208" t="s">
        <v>287</v>
      </c>
      <c r="B79" s="194" t="s">
        <v>265</v>
      </c>
      <c r="C79" s="1030"/>
      <c r="D79" s="922"/>
      <c r="E79" s="883"/>
    </row>
    <row r="80" spans="1:5" s="40" customFormat="1" ht="12" customHeight="1" thickBot="1" x14ac:dyDescent="0.2">
      <c r="A80" s="209" t="s">
        <v>266</v>
      </c>
      <c r="B80" s="111" t="s">
        <v>267</v>
      </c>
      <c r="C80" s="276">
        <f>SUM(C81:C83)</f>
        <v>0</v>
      </c>
      <c r="D80" s="922"/>
      <c r="E80" s="883"/>
    </row>
    <row r="81" spans="1:5" s="41" customFormat="1" ht="12" customHeight="1" x14ac:dyDescent="0.2">
      <c r="A81" s="206" t="s">
        <v>288</v>
      </c>
      <c r="B81" s="192" t="s">
        <v>268</v>
      </c>
      <c r="C81" s="1030"/>
      <c r="D81" s="922"/>
      <c r="E81" s="883"/>
    </row>
    <row r="82" spans="1:5" s="41" customFormat="1" ht="12" customHeight="1" x14ac:dyDescent="0.2">
      <c r="A82" s="207" t="s">
        <v>289</v>
      </c>
      <c r="B82" s="193" t="s">
        <v>269</v>
      </c>
      <c r="C82" s="1030"/>
      <c r="D82" s="922"/>
      <c r="E82" s="883"/>
    </row>
    <row r="83" spans="1:5" s="41" customFormat="1" ht="12" customHeight="1" thickBot="1" x14ac:dyDescent="0.25">
      <c r="A83" s="208" t="s">
        <v>290</v>
      </c>
      <c r="B83" s="194" t="s">
        <v>270</v>
      </c>
      <c r="C83" s="1030"/>
      <c r="D83" s="922"/>
      <c r="E83" s="883"/>
    </row>
    <row r="84" spans="1:5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  <c r="D84" s="922"/>
      <c r="E84" s="883"/>
    </row>
    <row r="85" spans="1:5" s="41" customFormat="1" ht="12" customHeight="1" x14ac:dyDescent="0.2">
      <c r="A85" s="210" t="s">
        <v>272</v>
      </c>
      <c r="B85" s="192" t="s">
        <v>273</v>
      </c>
      <c r="C85" s="1030"/>
      <c r="D85" s="922"/>
      <c r="E85" s="883"/>
    </row>
    <row r="86" spans="1:5" s="41" customFormat="1" ht="12" customHeight="1" x14ac:dyDescent="0.2">
      <c r="A86" s="211" t="s">
        <v>274</v>
      </c>
      <c r="B86" s="193" t="s">
        <v>275</v>
      </c>
      <c r="C86" s="1030"/>
      <c r="D86" s="922"/>
      <c r="E86" s="883"/>
    </row>
    <row r="87" spans="1:5" s="41" customFormat="1" ht="12" customHeight="1" x14ac:dyDescent="0.2">
      <c r="A87" s="211" t="s">
        <v>276</v>
      </c>
      <c r="B87" s="193" t="s">
        <v>277</v>
      </c>
      <c r="C87" s="1030"/>
      <c r="D87" s="922"/>
      <c r="E87" s="883"/>
    </row>
    <row r="88" spans="1:5" s="40" customFormat="1" ht="12" customHeight="1" thickBot="1" x14ac:dyDescent="0.25">
      <c r="A88" s="212" t="s">
        <v>278</v>
      </c>
      <c r="B88" s="194" t="s">
        <v>279</v>
      </c>
      <c r="C88" s="1030"/>
      <c r="D88" s="922"/>
      <c r="E88" s="883"/>
    </row>
    <row r="89" spans="1:5" s="40" customFormat="1" ht="12" customHeight="1" thickBot="1" x14ac:dyDescent="0.2">
      <c r="A89" s="209" t="s">
        <v>280</v>
      </c>
      <c r="B89" s="111" t="s">
        <v>444</v>
      </c>
      <c r="C89" s="281"/>
      <c r="D89" s="922"/>
      <c r="E89" s="883"/>
    </row>
    <row r="90" spans="1:5" s="40" customFormat="1" ht="12" customHeight="1" thickBot="1" x14ac:dyDescent="0.2">
      <c r="A90" s="209" t="s">
        <v>496</v>
      </c>
      <c r="B90" s="111" t="s">
        <v>281</v>
      </c>
      <c r="C90" s="281"/>
      <c r="D90" s="922"/>
      <c r="E90" s="883"/>
    </row>
    <row r="91" spans="1:5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0</v>
      </c>
      <c r="D91" s="922"/>
      <c r="E91" s="883"/>
    </row>
    <row r="92" spans="1:5" s="40" customFormat="1" ht="12" customHeight="1" thickBot="1" x14ac:dyDescent="0.2">
      <c r="A92" s="213" t="s">
        <v>498</v>
      </c>
      <c r="B92" s="200" t="s">
        <v>499</v>
      </c>
      <c r="C92" s="279">
        <f>+C67+C91</f>
        <v>570376410</v>
      </c>
      <c r="D92" s="922"/>
      <c r="E92" s="883"/>
    </row>
    <row r="93" spans="1:5" s="41" customFormat="1" ht="15" customHeight="1" thickBot="1" x14ac:dyDescent="0.25">
      <c r="A93" s="93"/>
      <c r="B93" s="94"/>
      <c r="C93" s="169"/>
      <c r="E93" s="883"/>
    </row>
    <row r="94" spans="1:5" s="32" customFormat="1" ht="16.5" customHeight="1" thickBot="1" x14ac:dyDescent="0.25">
      <c r="A94" s="97"/>
      <c r="B94" s="98" t="s">
        <v>57</v>
      </c>
      <c r="C94" s="171"/>
      <c r="E94" s="883"/>
    </row>
    <row r="95" spans="1:5" s="906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104611292</v>
      </c>
      <c r="E95" s="883"/>
    </row>
    <row r="96" spans="1:5" ht="12" customHeight="1" x14ac:dyDescent="0.2">
      <c r="A96" s="214" t="s">
        <v>97</v>
      </c>
      <c r="B96" s="7" t="s">
        <v>49</v>
      </c>
      <c r="C96" s="1033">
        <v>3533503</v>
      </c>
      <c r="D96" s="906"/>
      <c r="E96" s="883"/>
    </row>
    <row r="97" spans="1:5" ht="12" customHeight="1" x14ac:dyDescent="0.2">
      <c r="A97" s="207" t="s">
        <v>98</v>
      </c>
      <c r="B97" s="5" t="s">
        <v>146</v>
      </c>
      <c r="C97" s="1030">
        <v>1615069</v>
      </c>
      <c r="D97" s="906"/>
      <c r="E97" s="883"/>
    </row>
    <row r="98" spans="1:5" ht="12" customHeight="1" x14ac:dyDescent="0.2">
      <c r="A98" s="207" t="s">
        <v>99</v>
      </c>
      <c r="B98" s="455" t="s">
        <v>122</v>
      </c>
      <c r="C98" s="1031">
        <v>91462720</v>
      </c>
      <c r="D98" s="906"/>
      <c r="E98" s="883"/>
    </row>
    <row r="99" spans="1:5" ht="12" customHeight="1" x14ac:dyDescent="0.2">
      <c r="A99" s="207" t="s">
        <v>100</v>
      </c>
      <c r="B99" s="458" t="s">
        <v>147</v>
      </c>
      <c r="C99" s="1031"/>
      <c r="D99" s="906"/>
      <c r="E99" s="883"/>
    </row>
    <row r="100" spans="1:5" ht="12" customHeight="1" x14ac:dyDescent="0.2">
      <c r="A100" s="207" t="s">
        <v>111</v>
      </c>
      <c r="B100" s="16" t="s">
        <v>148</v>
      </c>
      <c r="C100" s="1031">
        <f>SUM(C101:C112)</f>
        <v>8000000</v>
      </c>
      <c r="D100" s="906"/>
      <c r="E100" s="883"/>
    </row>
    <row r="101" spans="1:5" ht="12" customHeight="1" x14ac:dyDescent="0.2">
      <c r="A101" s="207" t="s">
        <v>101</v>
      </c>
      <c r="B101" s="455" t="s">
        <v>500</v>
      </c>
      <c r="C101" s="1031"/>
      <c r="D101" s="906"/>
      <c r="E101" s="883"/>
    </row>
    <row r="102" spans="1:5" ht="12" customHeight="1" x14ac:dyDescent="0.2">
      <c r="A102" s="207" t="s">
        <v>102</v>
      </c>
      <c r="B102" s="466" t="s">
        <v>449</v>
      </c>
      <c r="C102" s="1031"/>
      <c r="D102" s="906"/>
      <c r="E102" s="883"/>
    </row>
    <row r="103" spans="1:5" ht="12" customHeight="1" x14ac:dyDescent="0.2">
      <c r="A103" s="207" t="s">
        <v>112</v>
      </c>
      <c r="B103" s="466" t="s">
        <v>450</v>
      </c>
      <c r="C103" s="1031"/>
      <c r="D103" s="906"/>
      <c r="E103" s="883"/>
    </row>
    <row r="104" spans="1:5" ht="12" customHeight="1" x14ac:dyDescent="0.2">
      <c r="A104" s="207" t="s">
        <v>113</v>
      </c>
      <c r="B104" s="60" t="s">
        <v>297</v>
      </c>
      <c r="C104" s="1031"/>
      <c r="D104" s="906"/>
      <c r="E104" s="883"/>
    </row>
    <row r="105" spans="1:5" ht="12" customHeight="1" x14ac:dyDescent="0.2">
      <c r="A105" s="207" t="s">
        <v>114</v>
      </c>
      <c r="B105" s="61" t="s">
        <v>298</v>
      </c>
      <c r="C105" s="1031"/>
      <c r="D105" s="906"/>
      <c r="E105" s="883"/>
    </row>
    <row r="106" spans="1:5" ht="12" customHeight="1" x14ac:dyDescent="0.2">
      <c r="A106" s="207" t="s">
        <v>115</v>
      </c>
      <c r="B106" s="61" t="s">
        <v>299</v>
      </c>
      <c r="C106" s="1031"/>
      <c r="D106" s="906"/>
      <c r="E106" s="883"/>
    </row>
    <row r="107" spans="1:5" ht="12" customHeight="1" x14ac:dyDescent="0.2">
      <c r="A107" s="207" t="s">
        <v>117</v>
      </c>
      <c r="B107" s="60" t="s">
        <v>300</v>
      </c>
      <c r="C107" s="1031"/>
      <c r="D107" s="906"/>
      <c r="E107" s="883"/>
    </row>
    <row r="108" spans="1:5" ht="12" customHeight="1" x14ac:dyDescent="0.2">
      <c r="A108" s="207" t="s">
        <v>149</v>
      </c>
      <c r="B108" s="60" t="s">
        <v>301</v>
      </c>
      <c r="C108" s="1031"/>
      <c r="D108" s="906"/>
      <c r="E108" s="883"/>
    </row>
    <row r="109" spans="1:5" ht="12" customHeight="1" x14ac:dyDescent="0.2">
      <c r="A109" s="207" t="s">
        <v>295</v>
      </c>
      <c r="B109" s="61" t="s">
        <v>302</v>
      </c>
      <c r="C109" s="1031"/>
      <c r="D109" s="906"/>
      <c r="E109" s="883"/>
    </row>
    <row r="110" spans="1:5" ht="12" customHeight="1" x14ac:dyDescent="0.2">
      <c r="A110" s="215" t="s">
        <v>296</v>
      </c>
      <c r="B110" s="62" t="s">
        <v>303</v>
      </c>
      <c r="C110" s="1031"/>
      <c r="D110" s="906"/>
      <c r="E110" s="883"/>
    </row>
    <row r="111" spans="1:5" ht="12" customHeight="1" x14ac:dyDescent="0.2">
      <c r="A111" s="207" t="s">
        <v>451</v>
      </c>
      <c r="B111" s="62" t="s">
        <v>304</v>
      </c>
      <c r="C111" s="1031"/>
      <c r="D111" s="906"/>
      <c r="E111" s="883"/>
    </row>
    <row r="112" spans="1:5" ht="12" customHeight="1" x14ac:dyDescent="0.2">
      <c r="A112" s="207" t="s">
        <v>452</v>
      </c>
      <c r="B112" s="61" t="s">
        <v>305</v>
      </c>
      <c r="C112" s="1030">
        <v>8000000</v>
      </c>
      <c r="D112" s="906"/>
      <c r="E112" s="883"/>
    </row>
    <row r="113" spans="1:5" ht="12" customHeight="1" x14ac:dyDescent="0.2">
      <c r="A113" s="207" t="s">
        <v>453</v>
      </c>
      <c r="B113" s="8" t="s">
        <v>50</v>
      </c>
      <c r="C113" s="105"/>
      <c r="D113" s="906"/>
      <c r="E113" s="883"/>
    </row>
    <row r="114" spans="1:5" ht="12" customHeight="1" x14ac:dyDescent="0.2">
      <c r="A114" s="208" t="s">
        <v>454</v>
      </c>
      <c r="B114" s="5" t="s">
        <v>501</v>
      </c>
      <c r="C114" s="106"/>
      <c r="D114" s="906"/>
      <c r="E114" s="883"/>
    </row>
    <row r="115" spans="1:5" ht="12" customHeight="1" thickBot="1" x14ac:dyDescent="0.25">
      <c r="A115" s="216" t="s">
        <v>456</v>
      </c>
      <c r="B115" s="63" t="s">
        <v>502</v>
      </c>
      <c r="C115" s="285"/>
      <c r="D115" s="906"/>
      <c r="E115" s="883"/>
    </row>
    <row r="116" spans="1:5" ht="12" customHeight="1" thickBot="1" x14ac:dyDescent="0.25">
      <c r="A116" s="25" t="s">
        <v>20</v>
      </c>
      <c r="B116" s="22" t="s">
        <v>306</v>
      </c>
      <c r="C116" s="276">
        <f>+C117+C119+C121</f>
        <v>97836015</v>
      </c>
      <c r="D116" s="906"/>
      <c r="E116" s="883"/>
    </row>
    <row r="117" spans="1:5" ht="12" customHeight="1" x14ac:dyDescent="0.2">
      <c r="A117" s="206" t="s">
        <v>103</v>
      </c>
      <c r="B117" s="5" t="s">
        <v>170</v>
      </c>
      <c r="C117" s="1032">
        <v>97836015</v>
      </c>
      <c r="D117" s="906"/>
      <c r="E117" s="883"/>
    </row>
    <row r="118" spans="1:5" ht="12" customHeight="1" x14ac:dyDescent="0.2">
      <c r="A118" s="206" t="s">
        <v>104</v>
      </c>
      <c r="B118" s="9" t="s">
        <v>310</v>
      </c>
      <c r="C118" s="1032"/>
      <c r="D118" s="906"/>
      <c r="E118" s="883"/>
    </row>
    <row r="119" spans="1:5" ht="12" customHeight="1" x14ac:dyDescent="0.2">
      <c r="A119" s="206" t="s">
        <v>105</v>
      </c>
      <c r="B119" s="9" t="s">
        <v>150</v>
      </c>
      <c r="C119" s="105"/>
      <c r="D119" s="906"/>
      <c r="E119" s="883"/>
    </row>
    <row r="120" spans="1:5" ht="12" customHeight="1" x14ac:dyDescent="0.2">
      <c r="A120" s="206" t="s">
        <v>106</v>
      </c>
      <c r="B120" s="9" t="s">
        <v>311</v>
      </c>
      <c r="C120" s="105"/>
      <c r="D120" s="906"/>
      <c r="E120" s="883"/>
    </row>
    <row r="121" spans="1:5" ht="12" customHeight="1" x14ac:dyDescent="0.2">
      <c r="A121" s="206" t="s">
        <v>107</v>
      </c>
      <c r="B121" s="113" t="s">
        <v>172</v>
      </c>
      <c r="C121" s="1030"/>
      <c r="D121" s="906"/>
      <c r="E121" s="883"/>
    </row>
    <row r="122" spans="1:5" ht="12" customHeight="1" x14ac:dyDescent="0.2">
      <c r="A122" s="206" t="s">
        <v>116</v>
      </c>
      <c r="B122" s="112" t="s">
        <v>373</v>
      </c>
      <c r="C122" s="1030"/>
      <c r="D122" s="906"/>
      <c r="E122" s="883"/>
    </row>
    <row r="123" spans="1:5" ht="12" customHeight="1" x14ac:dyDescent="0.2">
      <c r="A123" s="206" t="s">
        <v>118</v>
      </c>
      <c r="B123" s="188" t="s">
        <v>316</v>
      </c>
      <c r="C123" s="1030"/>
      <c r="D123" s="906"/>
      <c r="E123" s="883"/>
    </row>
    <row r="124" spans="1:5" ht="12" customHeight="1" x14ac:dyDescent="0.2">
      <c r="A124" s="206" t="s">
        <v>151</v>
      </c>
      <c r="B124" s="61" t="s">
        <v>299</v>
      </c>
      <c r="C124" s="1030"/>
      <c r="D124" s="906"/>
      <c r="E124" s="883"/>
    </row>
    <row r="125" spans="1:5" ht="12" customHeight="1" x14ac:dyDescent="0.2">
      <c r="A125" s="206" t="s">
        <v>152</v>
      </c>
      <c r="B125" s="61" t="s">
        <v>315</v>
      </c>
      <c r="C125" s="1030"/>
      <c r="D125" s="906"/>
      <c r="E125" s="883"/>
    </row>
    <row r="126" spans="1:5" ht="12" customHeight="1" x14ac:dyDescent="0.2">
      <c r="A126" s="206" t="s">
        <v>153</v>
      </c>
      <c r="B126" s="61" t="s">
        <v>314</v>
      </c>
      <c r="C126" s="1030"/>
      <c r="D126" s="906"/>
      <c r="E126" s="883"/>
    </row>
    <row r="127" spans="1:5" ht="12" customHeight="1" x14ac:dyDescent="0.2">
      <c r="A127" s="206" t="s">
        <v>307</v>
      </c>
      <c r="B127" s="61" t="s">
        <v>302</v>
      </c>
      <c r="C127" s="1030"/>
      <c r="D127" s="906"/>
      <c r="E127" s="883"/>
    </row>
    <row r="128" spans="1:5" ht="12" customHeight="1" x14ac:dyDescent="0.2">
      <c r="A128" s="206" t="s">
        <v>308</v>
      </c>
      <c r="B128" s="61" t="s">
        <v>313</v>
      </c>
      <c r="C128" s="1030"/>
      <c r="D128" s="906"/>
      <c r="E128" s="883"/>
    </row>
    <row r="129" spans="1:11" ht="12" customHeight="1" thickBot="1" x14ac:dyDescent="0.25">
      <c r="A129" s="215" t="s">
        <v>309</v>
      </c>
      <c r="B129" s="61" t="s">
        <v>312</v>
      </c>
      <c r="C129" s="1031"/>
      <c r="D129" s="906"/>
      <c r="E129" s="883"/>
    </row>
    <row r="130" spans="1:11" ht="12" customHeight="1" thickBot="1" x14ac:dyDescent="0.25">
      <c r="A130" s="25" t="s">
        <v>21</v>
      </c>
      <c r="B130" s="56" t="s">
        <v>458</v>
      </c>
      <c r="C130" s="276">
        <f>+C95+C116</f>
        <v>202447307</v>
      </c>
      <c r="D130" s="906"/>
      <c r="E130" s="883"/>
    </row>
    <row r="131" spans="1:11" ht="12" customHeight="1" thickBot="1" x14ac:dyDescent="0.25">
      <c r="A131" s="25" t="s">
        <v>22</v>
      </c>
      <c r="B131" s="56" t="s">
        <v>459</v>
      </c>
      <c r="C131" s="276">
        <f>+C132+C133+C134</f>
        <v>1668000</v>
      </c>
      <c r="D131" s="906"/>
      <c r="E131" s="883"/>
    </row>
    <row r="132" spans="1:11" s="906" customFormat="1" ht="12" customHeight="1" x14ac:dyDescent="0.2">
      <c r="A132" s="206" t="s">
        <v>208</v>
      </c>
      <c r="B132" s="6" t="s">
        <v>503</v>
      </c>
      <c r="C132" s="1030">
        <v>1668000</v>
      </c>
      <c r="E132" s="883"/>
    </row>
    <row r="133" spans="1:11" ht="12" customHeight="1" x14ac:dyDescent="0.2">
      <c r="A133" s="206" t="s">
        <v>211</v>
      </c>
      <c r="B133" s="6" t="s">
        <v>461</v>
      </c>
      <c r="C133" s="105"/>
      <c r="D133" s="906"/>
      <c r="E133" s="883"/>
    </row>
    <row r="134" spans="1:11" ht="12" customHeight="1" thickBot="1" x14ac:dyDescent="0.25">
      <c r="A134" s="215" t="s">
        <v>212</v>
      </c>
      <c r="B134" s="4" t="s">
        <v>504</v>
      </c>
      <c r="C134" s="105"/>
      <c r="D134" s="906"/>
      <c r="E134" s="883"/>
    </row>
    <row r="135" spans="1:11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  <c r="D135" s="906"/>
      <c r="E135" s="883"/>
    </row>
    <row r="136" spans="1:11" ht="12" customHeight="1" x14ac:dyDescent="0.2">
      <c r="A136" s="206" t="s">
        <v>90</v>
      </c>
      <c r="B136" s="6" t="s">
        <v>464</v>
      </c>
      <c r="C136" s="105"/>
      <c r="D136" s="906"/>
      <c r="E136" s="883"/>
    </row>
    <row r="137" spans="1:11" ht="12" customHeight="1" x14ac:dyDescent="0.2">
      <c r="A137" s="206" t="s">
        <v>91</v>
      </c>
      <c r="B137" s="6" t="s">
        <v>465</v>
      </c>
      <c r="C137" s="105"/>
      <c r="D137" s="906"/>
      <c r="E137" s="883"/>
    </row>
    <row r="138" spans="1:11" ht="12" customHeight="1" x14ac:dyDescent="0.2">
      <c r="A138" s="206" t="s">
        <v>92</v>
      </c>
      <c r="B138" s="6" t="s">
        <v>466</v>
      </c>
      <c r="C138" s="105"/>
      <c r="D138" s="906"/>
      <c r="E138" s="883"/>
    </row>
    <row r="139" spans="1:11" ht="12" customHeight="1" x14ac:dyDescent="0.2">
      <c r="A139" s="206" t="s">
        <v>138</v>
      </c>
      <c r="B139" s="6" t="s">
        <v>505</v>
      </c>
      <c r="C139" s="105"/>
      <c r="D139" s="906"/>
      <c r="E139" s="883"/>
    </row>
    <row r="140" spans="1:11" ht="12" customHeight="1" x14ac:dyDescent="0.2">
      <c r="A140" s="206" t="s">
        <v>139</v>
      </c>
      <c r="B140" s="6" t="s">
        <v>468</v>
      </c>
      <c r="C140" s="105"/>
      <c r="D140" s="906"/>
      <c r="E140" s="883"/>
    </row>
    <row r="141" spans="1:11" s="906" customFormat="1" ht="12" customHeight="1" thickBot="1" x14ac:dyDescent="0.25">
      <c r="A141" s="215" t="s">
        <v>140</v>
      </c>
      <c r="B141" s="4" t="s">
        <v>469</v>
      </c>
      <c r="C141" s="105"/>
      <c r="E141" s="883"/>
    </row>
    <row r="142" spans="1:11" ht="12" customHeight="1" thickBot="1" x14ac:dyDescent="0.25">
      <c r="A142" s="25" t="s">
        <v>24</v>
      </c>
      <c r="B142" s="56" t="s">
        <v>506</v>
      </c>
      <c r="C142" s="279">
        <f>+C143+C144+C145+C146</f>
        <v>0</v>
      </c>
      <c r="D142" s="906"/>
      <c r="E142" s="883"/>
      <c r="K142" s="104"/>
    </row>
    <row r="143" spans="1:11" ht="15.75" x14ac:dyDescent="0.2">
      <c r="A143" s="206" t="s">
        <v>93</v>
      </c>
      <c r="B143" s="6" t="s">
        <v>317</v>
      </c>
      <c r="C143" s="105"/>
      <c r="D143" s="906"/>
      <c r="E143" s="883"/>
    </row>
    <row r="144" spans="1:11" ht="12" customHeight="1" x14ac:dyDescent="0.2">
      <c r="A144" s="206" t="s">
        <v>94</v>
      </c>
      <c r="B144" s="6" t="s">
        <v>318</v>
      </c>
      <c r="C144" s="105"/>
      <c r="D144" s="906"/>
      <c r="E144" s="883"/>
    </row>
    <row r="145" spans="1:5" s="906" customFormat="1" ht="12" customHeight="1" x14ac:dyDescent="0.2">
      <c r="A145" s="206" t="s">
        <v>231</v>
      </c>
      <c r="B145" s="6" t="s">
        <v>471</v>
      </c>
      <c r="C145" s="105"/>
      <c r="E145" s="883"/>
    </row>
    <row r="146" spans="1:5" s="906" customFormat="1" ht="12" customHeight="1" thickBot="1" x14ac:dyDescent="0.25">
      <c r="A146" s="215" t="s">
        <v>232</v>
      </c>
      <c r="B146" s="4" t="s">
        <v>336</v>
      </c>
      <c r="C146" s="105"/>
      <c r="E146" s="883"/>
    </row>
    <row r="147" spans="1:5" s="906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  <c r="E147" s="883"/>
    </row>
    <row r="148" spans="1:5" s="906" customFormat="1" ht="12" customHeight="1" x14ac:dyDescent="0.2">
      <c r="A148" s="206" t="s">
        <v>95</v>
      </c>
      <c r="B148" s="6" t="s">
        <v>473</v>
      </c>
      <c r="C148" s="105"/>
      <c r="E148" s="883"/>
    </row>
    <row r="149" spans="1:5" s="906" customFormat="1" ht="12" customHeight="1" x14ac:dyDescent="0.2">
      <c r="A149" s="206" t="s">
        <v>96</v>
      </c>
      <c r="B149" s="6" t="s">
        <v>474</v>
      </c>
      <c r="C149" s="105"/>
      <c r="E149" s="883"/>
    </row>
    <row r="150" spans="1:5" s="906" customFormat="1" ht="12" customHeight="1" x14ac:dyDescent="0.2">
      <c r="A150" s="206" t="s">
        <v>243</v>
      </c>
      <c r="B150" s="6" t="s">
        <v>475</v>
      </c>
      <c r="C150" s="105"/>
      <c r="E150" s="883"/>
    </row>
    <row r="151" spans="1:5" ht="12.75" customHeight="1" x14ac:dyDescent="0.2">
      <c r="A151" s="206" t="s">
        <v>244</v>
      </c>
      <c r="B151" s="6" t="s">
        <v>507</v>
      </c>
      <c r="C151" s="105"/>
      <c r="D151" s="906"/>
      <c r="E151" s="883"/>
    </row>
    <row r="152" spans="1:5" ht="12.75" customHeight="1" thickBot="1" x14ac:dyDescent="0.25">
      <c r="A152" s="215" t="s">
        <v>477</v>
      </c>
      <c r="B152" s="4" t="s">
        <v>478</v>
      </c>
      <c r="C152" s="106"/>
      <c r="D152" s="906"/>
      <c r="E152" s="883"/>
    </row>
    <row r="153" spans="1:5" ht="12.75" customHeight="1" thickBot="1" x14ac:dyDescent="0.25">
      <c r="A153" s="263" t="s">
        <v>26</v>
      </c>
      <c r="B153" s="56" t="s">
        <v>479</v>
      </c>
      <c r="C153" s="286"/>
      <c r="D153" s="906"/>
      <c r="E153" s="883"/>
    </row>
    <row r="154" spans="1:5" ht="12" customHeight="1" thickBot="1" x14ac:dyDescent="0.25">
      <c r="A154" s="263" t="s">
        <v>27</v>
      </c>
      <c r="B154" s="56" t="s">
        <v>480</v>
      </c>
      <c r="C154" s="286"/>
      <c r="D154" s="906"/>
      <c r="E154" s="883"/>
    </row>
    <row r="155" spans="1:5" ht="15" customHeight="1" thickBot="1" x14ac:dyDescent="0.25">
      <c r="A155" s="25" t="s">
        <v>28</v>
      </c>
      <c r="B155" s="56" t="s">
        <v>481</v>
      </c>
      <c r="C155" s="287">
        <f>+C131+C135+C142+C147+C153+C154</f>
        <v>1668000</v>
      </c>
      <c r="D155" s="906"/>
      <c r="E155" s="883"/>
    </row>
    <row r="156" spans="1:5" ht="16.5" thickBot="1" x14ac:dyDescent="0.25">
      <c r="A156" s="217" t="s">
        <v>29</v>
      </c>
      <c r="B156" s="177" t="s">
        <v>482</v>
      </c>
      <c r="C156" s="287">
        <f>+C130+C155</f>
        <v>204115307</v>
      </c>
      <c r="D156" s="906"/>
      <c r="E156" s="883"/>
    </row>
    <row r="157" spans="1:5" ht="15" customHeight="1" thickBot="1" x14ac:dyDescent="0.25"/>
    <row r="158" spans="1:5" ht="14.25" customHeight="1" thickBot="1" x14ac:dyDescent="0.25">
      <c r="A158" s="101" t="s">
        <v>808</v>
      </c>
      <c r="B158" s="102"/>
      <c r="C158" s="944"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6" max="16383" man="1"/>
    <brk id="93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activeCell="H7" sqref="H7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12.6640625" style="357" bestFit="1" customWidth="1"/>
    <col min="4" max="4" width="10" style="913" hidden="1" customWidth="1"/>
    <col min="5" max="5" width="10.5" style="913" hidden="1" customWidth="1"/>
    <col min="6" max="9" width="9.33203125" style="924" customWidth="1"/>
    <col min="10" max="19" width="9.33203125" style="924"/>
    <col min="20" max="16384" width="9.33203125" style="908"/>
  </cols>
  <sheetData>
    <row r="1" spans="1:19" x14ac:dyDescent="0.2">
      <c r="A1" s="1468" t="str">
        <f>CONCATENATE("9.2. melléklet"," ",ALAPADATOK!A7," ",ALAPADATOK!B7," ",ALAPADATOK!C7," ",ALAPADATOK!D7," ",ALAPADATOK!E7," ",ALAPADATOK!F7," ",ALAPADATOK!G7," ",ALAPADATOK!H7)</f>
        <v>9.2. melléklet a 2 / 2021. ( II.15. ) önkormányzati rendelethez</v>
      </c>
      <c r="B1" s="1468"/>
      <c r="C1" s="1468"/>
    </row>
    <row r="2" spans="1:19" s="80" customFormat="1" ht="21" customHeight="1" thickBot="1" x14ac:dyDescent="0.25">
      <c r="A2" s="79"/>
      <c r="B2" s="81"/>
      <c r="C2" s="224"/>
      <c r="D2" s="913"/>
      <c r="E2" s="913"/>
      <c r="F2" s="566"/>
      <c r="G2" s="566"/>
      <c r="H2" s="566"/>
      <c r="I2" s="566"/>
      <c r="J2" s="566"/>
      <c r="K2" s="566"/>
      <c r="L2" s="566"/>
      <c r="M2" s="566"/>
      <c r="N2" s="566"/>
      <c r="O2" s="566"/>
      <c r="P2" s="566"/>
      <c r="Q2" s="566"/>
      <c r="R2" s="566"/>
      <c r="S2" s="566"/>
    </row>
    <row r="3" spans="1:19" s="225" customFormat="1" ht="36" customHeight="1" x14ac:dyDescent="0.2">
      <c r="A3" s="182" t="s">
        <v>164</v>
      </c>
      <c r="B3" s="161" t="s">
        <v>432</v>
      </c>
      <c r="C3" s="174" t="s">
        <v>60</v>
      </c>
      <c r="D3" s="392"/>
      <c r="E3" s="392"/>
      <c r="F3" s="567"/>
      <c r="G3" s="567"/>
      <c r="H3" s="567"/>
      <c r="I3" s="567"/>
      <c r="J3" s="567"/>
      <c r="K3" s="567"/>
      <c r="L3" s="567"/>
      <c r="M3" s="567"/>
      <c r="N3" s="567"/>
      <c r="O3" s="567"/>
      <c r="P3" s="567"/>
      <c r="Q3" s="567"/>
      <c r="R3" s="567"/>
      <c r="S3" s="567"/>
    </row>
    <row r="4" spans="1:19" s="225" customFormat="1" ht="24.75" thickBot="1" x14ac:dyDescent="0.25">
      <c r="A4" s="218" t="s">
        <v>163</v>
      </c>
      <c r="B4" s="162" t="s">
        <v>344</v>
      </c>
      <c r="C4" s="175" t="s">
        <v>53</v>
      </c>
      <c r="D4" s="392"/>
      <c r="E4" s="392"/>
      <c r="F4" s="567"/>
      <c r="G4" s="567"/>
      <c r="H4" s="567"/>
      <c r="I4" s="568"/>
      <c r="J4" s="567"/>
      <c r="K4" s="567"/>
      <c r="L4" s="567"/>
      <c r="M4" s="567"/>
      <c r="N4" s="567"/>
      <c r="O4" s="567"/>
      <c r="P4" s="567"/>
      <c r="Q4" s="567"/>
      <c r="R4" s="567"/>
      <c r="S4" s="567"/>
    </row>
    <row r="5" spans="1:19" s="226" customFormat="1" ht="15.95" customHeight="1" thickBot="1" x14ac:dyDescent="0.3">
      <c r="A5" s="83"/>
      <c r="B5" s="83"/>
      <c r="C5" s="84" t="s">
        <v>540</v>
      </c>
      <c r="D5" s="392"/>
      <c r="E5" s="392"/>
      <c r="F5" s="569"/>
      <c r="G5" s="569"/>
      <c r="H5" s="569"/>
      <c r="I5" s="569"/>
      <c r="J5" s="569"/>
      <c r="K5" s="569"/>
      <c r="L5" s="569"/>
      <c r="M5" s="569"/>
      <c r="N5" s="569"/>
      <c r="O5" s="569"/>
      <c r="P5" s="569"/>
      <c r="Q5" s="569"/>
      <c r="R5" s="569"/>
      <c r="S5" s="569"/>
    </row>
    <row r="6" spans="1:19" ht="13.5" thickBot="1" x14ac:dyDescent="0.25">
      <c r="A6" s="183" t="s">
        <v>165</v>
      </c>
      <c r="B6" s="85" t="s">
        <v>54</v>
      </c>
      <c r="C6" s="86" t="s">
        <v>55</v>
      </c>
    </row>
    <row r="7" spans="1:19" s="227" customFormat="1" ht="12.95" customHeight="1" thickBot="1" x14ac:dyDescent="0.25">
      <c r="A7" s="73" t="s">
        <v>434</v>
      </c>
      <c r="B7" s="74" t="s">
        <v>435</v>
      </c>
      <c r="C7" s="75" t="s">
        <v>436</v>
      </c>
      <c r="D7" s="393"/>
      <c r="E7" s="393"/>
      <c r="F7" s="570"/>
      <c r="G7" s="570"/>
      <c r="H7" s="570"/>
      <c r="I7" s="570"/>
      <c r="J7" s="570"/>
      <c r="K7" s="570"/>
      <c r="L7" s="570"/>
      <c r="M7" s="570"/>
      <c r="N7" s="570"/>
      <c r="O7" s="570"/>
      <c r="P7" s="570"/>
      <c r="Q7" s="570"/>
      <c r="R7" s="570"/>
      <c r="S7" s="570"/>
    </row>
    <row r="8" spans="1:19" s="227" customFormat="1" ht="15.95" customHeight="1" thickBot="1" x14ac:dyDescent="0.25">
      <c r="A8" s="87"/>
      <c r="B8" s="88" t="s">
        <v>56</v>
      </c>
      <c r="C8" s="89"/>
      <c r="D8" s="393"/>
      <c r="E8" s="393"/>
      <c r="F8" s="570"/>
      <c r="G8" s="570"/>
      <c r="H8" s="570"/>
      <c r="I8" s="570"/>
      <c r="J8" s="570"/>
      <c r="K8" s="570"/>
      <c r="L8" s="570"/>
      <c r="M8" s="570"/>
      <c r="N8" s="570"/>
      <c r="O8" s="570"/>
      <c r="P8" s="570"/>
      <c r="Q8" s="570"/>
      <c r="R8" s="570"/>
      <c r="S8" s="570"/>
    </row>
    <row r="9" spans="1:19" s="176" customFormat="1" ht="12" customHeight="1" thickBot="1" x14ac:dyDescent="0.25">
      <c r="A9" s="73" t="s">
        <v>19</v>
      </c>
      <c r="B9" s="90" t="s">
        <v>510</v>
      </c>
      <c r="C9" s="1022">
        <f>SUM(C10:C20)</f>
        <v>10088614</v>
      </c>
      <c r="D9" s="394">
        <f>'9.2.1. sz. mell'!C9+'9.2.2. sz.  mell'!C9+'9.2.3. sz. mell.'!C9</f>
        <v>10088614</v>
      </c>
      <c r="E9" s="571">
        <f t="shared" ref="E9:E43" si="0">C9-D9</f>
        <v>0</v>
      </c>
      <c r="F9" s="572"/>
      <c r="G9" s="572"/>
      <c r="H9" s="572"/>
      <c r="I9" s="572"/>
      <c r="J9" s="572"/>
      <c r="K9" s="572"/>
      <c r="L9" s="572"/>
      <c r="M9" s="572"/>
      <c r="N9" s="572"/>
      <c r="O9" s="572"/>
      <c r="P9" s="572"/>
      <c r="Q9" s="572"/>
      <c r="R9" s="572"/>
      <c r="S9" s="572"/>
    </row>
    <row r="10" spans="1:19" s="176" customFormat="1" ht="12" customHeight="1" x14ac:dyDescent="0.2">
      <c r="A10" s="219" t="s">
        <v>97</v>
      </c>
      <c r="B10" s="7" t="s">
        <v>220</v>
      </c>
      <c r="C10" s="166"/>
      <c r="D10" s="394">
        <f>'9.2.1. sz. mell'!C10+'9.2.2. sz.  mell'!C10+'9.2.3. sz. mell.'!C10</f>
        <v>0</v>
      </c>
      <c r="E10" s="571">
        <f t="shared" si="0"/>
        <v>0</v>
      </c>
      <c r="F10" s="572"/>
      <c r="G10" s="572"/>
      <c r="H10" s="572"/>
      <c r="I10" s="572"/>
      <c r="J10" s="572"/>
      <c r="K10" s="572"/>
      <c r="L10" s="572"/>
      <c r="M10" s="572"/>
      <c r="N10" s="572"/>
      <c r="O10" s="572"/>
      <c r="P10" s="572"/>
      <c r="Q10" s="572"/>
      <c r="R10" s="572"/>
      <c r="S10" s="572"/>
    </row>
    <row r="11" spans="1:19" s="176" customFormat="1" ht="12" customHeight="1" x14ac:dyDescent="0.2">
      <c r="A11" s="220" t="s">
        <v>98</v>
      </c>
      <c r="B11" s="5" t="s">
        <v>221</v>
      </c>
      <c r="C11" s="1020">
        <v>5076402</v>
      </c>
      <c r="D11" s="394">
        <f>'9.2.1. sz. mell'!C11+'9.2.2. sz.  mell'!C11+'9.2.3. sz. mell.'!C11</f>
        <v>5076402</v>
      </c>
      <c r="E11" s="571">
        <f t="shared" si="0"/>
        <v>0</v>
      </c>
      <c r="F11" s="572"/>
      <c r="G11" s="572"/>
      <c r="H11" s="572"/>
      <c r="I11" s="572"/>
      <c r="J11" s="572"/>
      <c r="K11" s="572"/>
      <c r="L11" s="572"/>
      <c r="M11" s="572"/>
      <c r="N11" s="572"/>
      <c r="O11" s="572"/>
      <c r="P11" s="572"/>
      <c r="Q11" s="572"/>
      <c r="R11" s="572"/>
      <c r="S11" s="572"/>
    </row>
    <row r="12" spans="1:19" s="176" customFormat="1" ht="12" customHeight="1" x14ac:dyDescent="0.2">
      <c r="A12" s="220" t="s">
        <v>99</v>
      </c>
      <c r="B12" s="5" t="s">
        <v>222</v>
      </c>
      <c r="C12" s="1020">
        <v>2788648</v>
      </c>
      <c r="D12" s="394">
        <f>'9.2.1. sz. mell'!C12+'9.2.2. sz.  mell'!C12+'9.2.3. sz. mell.'!C12</f>
        <v>2788648</v>
      </c>
      <c r="E12" s="571">
        <f t="shared" si="0"/>
        <v>0</v>
      </c>
      <c r="F12" s="572"/>
      <c r="G12" s="572"/>
      <c r="H12" s="572"/>
      <c r="I12" s="572"/>
      <c r="J12" s="572"/>
      <c r="K12" s="572"/>
      <c r="L12" s="572"/>
      <c r="M12" s="572"/>
      <c r="N12" s="572"/>
      <c r="O12" s="572"/>
      <c r="P12" s="572"/>
      <c r="Q12" s="572"/>
      <c r="R12" s="572"/>
      <c r="S12" s="572"/>
    </row>
    <row r="13" spans="1:19" s="176" customFormat="1" ht="12" customHeight="1" x14ac:dyDescent="0.2">
      <c r="A13" s="220" t="s">
        <v>100</v>
      </c>
      <c r="B13" s="5" t="s">
        <v>223</v>
      </c>
      <c r="C13" s="1020"/>
      <c r="D13" s="394">
        <f>'9.2.1. sz. mell'!C13+'9.2.2. sz.  mell'!C13+'9.2.3. sz. mell.'!C13</f>
        <v>0</v>
      </c>
      <c r="E13" s="571">
        <f t="shared" si="0"/>
        <v>0</v>
      </c>
      <c r="F13" s="572"/>
      <c r="G13" s="572"/>
      <c r="H13" s="572"/>
      <c r="I13" s="572"/>
      <c r="J13" s="572"/>
      <c r="K13" s="572"/>
      <c r="L13" s="572"/>
      <c r="M13" s="572"/>
      <c r="N13" s="572"/>
      <c r="O13" s="572"/>
      <c r="P13" s="572"/>
      <c r="Q13" s="572"/>
      <c r="R13" s="572"/>
      <c r="S13" s="572"/>
    </row>
    <row r="14" spans="1:19" s="176" customFormat="1" ht="12" customHeight="1" x14ac:dyDescent="0.2">
      <c r="A14" s="220" t="s">
        <v>123</v>
      </c>
      <c r="B14" s="5" t="s">
        <v>224</v>
      </c>
      <c r="C14" s="1020"/>
      <c r="D14" s="394">
        <f>'9.2.1. sz. mell'!C14+'9.2.2. sz.  mell'!C14+'9.2.3. sz. mell.'!C14</f>
        <v>0</v>
      </c>
      <c r="E14" s="571">
        <f t="shared" si="0"/>
        <v>0</v>
      </c>
      <c r="F14" s="572"/>
      <c r="G14" s="572"/>
      <c r="H14" s="572"/>
      <c r="I14" s="572"/>
      <c r="J14" s="572"/>
      <c r="K14" s="572"/>
      <c r="L14" s="572"/>
      <c r="M14" s="572"/>
      <c r="N14" s="572"/>
      <c r="O14" s="572"/>
      <c r="P14" s="572"/>
      <c r="Q14" s="572"/>
      <c r="R14" s="572"/>
      <c r="S14" s="572"/>
    </row>
    <row r="15" spans="1:19" s="176" customFormat="1" ht="12" customHeight="1" x14ac:dyDescent="0.2">
      <c r="A15" s="220" t="s">
        <v>101</v>
      </c>
      <c r="B15" s="5" t="s">
        <v>345</v>
      </c>
      <c r="C15" s="1020">
        <v>2123564</v>
      </c>
      <c r="D15" s="394">
        <f>'9.2.1. sz. mell'!C15+'9.2.2. sz.  mell'!C15+'9.2.3. sz. mell.'!C15</f>
        <v>2123564</v>
      </c>
      <c r="E15" s="571">
        <f t="shared" si="0"/>
        <v>0</v>
      </c>
      <c r="F15" s="572"/>
      <c r="G15" s="572"/>
      <c r="H15" s="572"/>
      <c r="I15" s="572"/>
      <c r="J15" s="572"/>
      <c r="K15" s="572"/>
      <c r="L15" s="572"/>
      <c r="M15" s="572"/>
      <c r="N15" s="572"/>
      <c r="O15" s="572"/>
      <c r="P15" s="572"/>
      <c r="Q15" s="572"/>
      <c r="R15" s="572"/>
      <c r="S15" s="572"/>
    </row>
    <row r="16" spans="1:19" s="176" customFormat="1" ht="12" customHeight="1" x14ac:dyDescent="0.2">
      <c r="A16" s="220" t="s">
        <v>102</v>
      </c>
      <c r="B16" s="4" t="s">
        <v>346</v>
      </c>
      <c r="C16" s="1020"/>
      <c r="D16" s="394">
        <f>'9.2.1. sz. mell'!C16+'9.2.2. sz.  mell'!C16+'9.2.3. sz. mell.'!C16</f>
        <v>0</v>
      </c>
      <c r="E16" s="571">
        <f t="shared" si="0"/>
        <v>0</v>
      </c>
      <c r="F16" s="572"/>
      <c r="G16" s="572"/>
      <c r="H16" s="572"/>
      <c r="I16" s="572"/>
      <c r="J16" s="572"/>
      <c r="K16" s="572"/>
      <c r="L16" s="572"/>
      <c r="M16" s="572"/>
      <c r="N16" s="572"/>
      <c r="O16" s="572"/>
      <c r="P16" s="572"/>
      <c r="Q16" s="572"/>
      <c r="R16" s="572"/>
      <c r="S16" s="572"/>
    </row>
    <row r="17" spans="1:19" s="176" customFormat="1" ht="12" customHeight="1" x14ac:dyDescent="0.2">
      <c r="A17" s="220" t="s">
        <v>112</v>
      </c>
      <c r="B17" s="5" t="s">
        <v>227</v>
      </c>
      <c r="C17" s="131"/>
      <c r="D17" s="394">
        <f>'9.2.1. sz. mell'!C17+'9.2.2. sz.  mell'!C17+'9.2.3. sz. mell.'!C17</f>
        <v>0</v>
      </c>
      <c r="E17" s="571">
        <f t="shared" si="0"/>
        <v>0</v>
      </c>
      <c r="F17" s="572"/>
      <c r="G17" s="572"/>
      <c r="H17" s="572"/>
      <c r="I17" s="572"/>
      <c r="J17" s="572"/>
      <c r="K17" s="572"/>
      <c r="L17" s="572"/>
      <c r="M17" s="572"/>
      <c r="N17" s="572"/>
      <c r="O17" s="572"/>
      <c r="P17" s="572"/>
      <c r="Q17" s="572"/>
      <c r="R17" s="572"/>
      <c r="S17" s="572"/>
    </row>
    <row r="18" spans="1:19" s="228" customFormat="1" ht="12" customHeight="1" x14ac:dyDescent="0.2">
      <c r="A18" s="220" t="s">
        <v>113</v>
      </c>
      <c r="B18" s="5" t="s">
        <v>228</v>
      </c>
      <c r="C18" s="1020"/>
      <c r="D18" s="394">
        <f>'9.2.1. sz. mell'!C18+'9.2.2. sz.  mell'!C18+'9.2.3. sz. mell.'!C18</f>
        <v>0</v>
      </c>
      <c r="E18" s="571">
        <f t="shared" si="0"/>
        <v>0</v>
      </c>
      <c r="F18" s="573"/>
      <c r="G18" s="573"/>
      <c r="H18" s="573"/>
      <c r="I18" s="573"/>
      <c r="J18" s="573"/>
      <c r="K18" s="573"/>
      <c r="L18" s="573"/>
      <c r="M18" s="573"/>
      <c r="N18" s="573"/>
      <c r="O18" s="573"/>
      <c r="P18" s="573"/>
      <c r="Q18" s="573"/>
      <c r="R18" s="573"/>
      <c r="S18" s="573"/>
    </row>
    <row r="19" spans="1:19" s="228" customFormat="1" ht="12" customHeight="1" x14ac:dyDescent="0.2">
      <c r="A19" s="220" t="s">
        <v>114</v>
      </c>
      <c r="B19" s="5" t="s">
        <v>440</v>
      </c>
      <c r="C19" s="473"/>
      <c r="D19" s="394">
        <f>'9.2.1. sz. mell'!C19+'9.2.2. sz.  mell'!C19+'9.2.3. sz. mell.'!C19</f>
        <v>0</v>
      </c>
      <c r="E19" s="571">
        <f t="shared" si="0"/>
        <v>0</v>
      </c>
      <c r="F19" s="573"/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73"/>
      <c r="S19" s="573"/>
    </row>
    <row r="20" spans="1:19" s="228" customFormat="1" ht="12" customHeight="1" thickBot="1" x14ac:dyDescent="0.25">
      <c r="A20" s="220" t="s">
        <v>115</v>
      </c>
      <c r="B20" s="4" t="s">
        <v>229</v>
      </c>
      <c r="C20" s="473">
        <v>100000</v>
      </c>
      <c r="D20" s="394">
        <f>'9.2.1. sz. mell'!C20+'9.2.2. sz.  mell'!C20+'9.2.3. sz. mell.'!C20</f>
        <v>100000</v>
      </c>
      <c r="E20" s="571">
        <f t="shared" si="0"/>
        <v>0</v>
      </c>
      <c r="F20" s="573"/>
      <c r="G20" s="573"/>
      <c r="H20" s="573"/>
      <c r="I20" s="573"/>
      <c r="J20" s="573"/>
      <c r="K20" s="573"/>
      <c r="L20" s="573"/>
      <c r="M20" s="573"/>
      <c r="N20" s="573"/>
      <c r="O20" s="573"/>
      <c r="P20" s="573"/>
      <c r="Q20" s="573"/>
      <c r="R20" s="573"/>
      <c r="S20" s="573"/>
    </row>
    <row r="21" spans="1:19" s="176" customFormat="1" ht="12" customHeight="1" thickBot="1" x14ac:dyDescent="0.25">
      <c r="A21" s="73" t="s">
        <v>20</v>
      </c>
      <c r="B21" s="90" t="s">
        <v>347</v>
      </c>
      <c r="C21" s="1022">
        <f>SUM(C22:C24)</f>
        <v>0</v>
      </c>
      <c r="D21" s="394">
        <f>'9.2.1. sz. mell'!C21+'9.2.2. sz.  mell'!C21+'9.2.3. sz. mell.'!C21</f>
        <v>0</v>
      </c>
      <c r="E21" s="571">
        <f t="shared" si="0"/>
        <v>0</v>
      </c>
      <c r="F21" s="572"/>
      <c r="G21" s="572"/>
      <c r="H21" s="572"/>
      <c r="I21" s="572"/>
      <c r="J21" s="572"/>
      <c r="K21" s="572"/>
      <c r="L21" s="572"/>
      <c r="M21" s="572"/>
      <c r="N21" s="572"/>
      <c r="O21" s="572"/>
      <c r="P21" s="572"/>
      <c r="Q21" s="572"/>
      <c r="R21" s="572"/>
      <c r="S21" s="572"/>
    </row>
    <row r="22" spans="1:19" s="228" customFormat="1" ht="12" customHeight="1" x14ac:dyDescent="0.2">
      <c r="A22" s="220" t="s">
        <v>103</v>
      </c>
      <c r="B22" s="6" t="s">
        <v>198</v>
      </c>
      <c r="C22" s="128"/>
      <c r="D22" s="394">
        <f>'9.2.1. sz. mell'!C22+'9.2.2. sz.  mell'!C22+'9.2.3. sz. mell.'!C22</f>
        <v>0</v>
      </c>
      <c r="E22" s="571">
        <f t="shared" si="0"/>
        <v>0</v>
      </c>
      <c r="F22" s="573"/>
      <c r="G22" s="573"/>
      <c r="H22" s="573"/>
      <c r="I22" s="573"/>
      <c r="J22" s="573"/>
      <c r="K22" s="573"/>
      <c r="L22" s="573"/>
      <c r="M22" s="573"/>
      <c r="N22" s="573"/>
      <c r="O22" s="573"/>
      <c r="P22" s="573"/>
      <c r="Q22" s="573"/>
      <c r="R22" s="573"/>
      <c r="S22" s="573"/>
    </row>
    <row r="23" spans="1:19" s="228" customFormat="1" ht="12" customHeight="1" x14ac:dyDescent="0.2">
      <c r="A23" s="220" t="s">
        <v>104</v>
      </c>
      <c r="B23" s="5" t="s">
        <v>348</v>
      </c>
      <c r="C23" s="1020"/>
      <c r="D23" s="394">
        <f>'9.2.1. sz. mell'!C23+'9.2.2. sz.  mell'!C23+'9.2.3. sz. mell.'!C23</f>
        <v>0</v>
      </c>
      <c r="E23" s="571">
        <f t="shared" si="0"/>
        <v>0</v>
      </c>
      <c r="F23" s="573"/>
      <c r="G23" s="573"/>
      <c r="H23" s="573"/>
      <c r="I23" s="573"/>
      <c r="J23" s="573"/>
      <c r="K23" s="573"/>
      <c r="L23" s="573"/>
      <c r="M23" s="573"/>
      <c r="N23" s="573"/>
      <c r="O23" s="573"/>
      <c r="P23" s="573"/>
      <c r="Q23" s="573"/>
      <c r="R23" s="573"/>
      <c r="S23" s="573"/>
    </row>
    <row r="24" spans="1:19" s="228" customFormat="1" ht="12" customHeight="1" x14ac:dyDescent="0.2">
      <c r="A24" s="220" t="s">
        <v>105</v>
      </c>
      <c r="B24" s="5" t="s">
        <v>349</v>
      </c>
      <c r="C24" s="1025"/>
      <c r="D24" s="394">
        <f>'9.2.1. sz. mell'!C24+'9.2.2. sz.  mell'!C24+'9.2.3. sz. mell.'!C24</f>
        <v>0</v>
      </c>
      <c r="E24" s="571">
        <f t="shared" si="0"/>
        <v>0</v>
      </c>
      <c r="F24" s="573"/>
      <c r="G24" s="573"/>
      <c r="H24" s="573"/>
      <c r="I24" s="573"/>
      <c r="J24" s="573"/>
      <c r="K24" s="573"/>
      <c r="L24" s="573"/>
      <c r="M24" s="573"/>
      <c r="N24" s="573"/>
      <c r="O24" s="573"/>
      <c r="P24" s="573"/>
      <c r="Q24" s="573"/>
      <c r="R24" s="573"/>
      <c r="S24" s="573"/>
    </row>
    <row r="25" spans="1:19" s="228" customFormat="1" ht="12" customHeight="1" thickBot="1" x14ac:dyDescent="0.25">
      <c r="A25" s="220" t="s">
        <v>106</v>
      </c>
      <c r="B25" s="5" t="s">
        <v>511</v>
      </c>
      <c r="C25" s="1020"/>
      <c r="D25" s="394">
        <f>'9.2.1. sz. mell'!C25+'9.2.2. sz.  mell'!C25+'9.2.3. sz. mell.'!C25</f>
        <v>0</v>
      </c>
      <c r="E25" s="571">
        <f t="shared" si="0"/>
        <v>0</v>
      </c>
      <c r="F25" s="573"/>
      <c r="G25" s="573"/>
      <c r="H25" s="573"/>
      <c r="I25" s="573"/>
      <c r="J25" s="573"/>
      <c r="K25" s="573"/>
      <c r="L25" s="573"/>
      <c r="M25" s="573"/>
      <c r="N25" s="573"/>
      <c r="O25" s="573"/>
      <c r="P25" s="573"/>
      <c r="Q25" s="573"/>
      <c r="R25" s="573"/>
      <c r="S25" s="573"/>
    </row>
    <row r="26" spans="1:19" s="228" customFormat="1" ht="12" customHeight="1" thickBot="1" x14ac:dyDescent="0.25">
      <c r="A26" s="76" t="s">
        <v>21</v>
      </c>
      <c r="B26" s="56" t="s">
        <v>137</v>
      </c>
      <c r="C26" s="151"/>
      <c r="D26" s="394">
        <f>'9.2.1. sz. mell'!C26+'9.2.2. sz.  mell'!C26+'9.2.3. sz. mell.'!C26</f>
        <v>0</v>
      </c>
      <c r="E26" s="571">
        <f t="shared" si="0"/>
        <v>0</v>
      </c>
      <c r="F26" s="573"/>
      <c r="G26" s="573"/>
      <c r="H26" s="573"/>
      <c r="I26" s="573"/>
      <c r="J26" s="573"/>
      <c r="K26" s="573"/>
      <c r="L26" s="573"/>
      <c r="M26" s="573"/>
      <c r="N26" s="573"/>
      <c r="O26" s="573"/>
      <c r="P26" s="573"/>
      <c r="Q26" s="573"/>
      <c r="R26" s="573"/>
      <c r="S26" s="573"/>
    </row>
    <row r="27" spans="1:19" s="228" customFormat="1" ht="12" customHeight="1" thickBot="1" x14ac:dyDescent="0.25">
      <c r="A27" s="76" t="s">
        <v>22</v>
      </c>
      <c r="B27" s="56" t="s">
        <v>512</v>
      </c>
      <c r="C27" s="1022">
        <f>+C28+C29+C30</f>
        <v>0</v>
      </c>
      <c r="D27" s="394">
        <f>'9.2.1. sz. mell'!C27+'9.2.2. sz.  mell'!C27+'9.2.3. sz. mell.'!C27</f>
        <v>0</v>
      </c>
      <c r="E27" s="571">
        <f t="shared" si="0"/>
        <v>0</v>
      </c>
      <c r="F27" s="573"/>
      <c r="G27" s="573"/>
      <c r="H27" s="573"/>
      <c r="I27" s="573"/>
      <c r="J27" s="573"/>
      <c r="K27" s="573"/>
      <c r="L27" s="573"/>
      <c r="M27" s="573"/>
      <c r="N27" s="573"/>
      <c r="O27" s="573"/>
      <c r="P27" s="573"/>
      <c r="Q27" s="573"/>
      <c r="R27" s="573"/>
      <c r="S27" s="573"/>
    </row>
    <row r="28" spans="1:19" s="228" customFormat="1" ht="12" customHeight="1" x14ac:dyDescent="0.2">
      <c r="A28" s="221" t="s">
        <v>208</v>
      </c>
      <c r="B28" s="222" t="s">
        <v>203</v>
      </c>
      <c r="C28" s="1019"/>
      <c r="D28" s="394">
        <f>'9.2.1. sz. mell'!C28+'9.2.2. sz.  mell'!C28+'9.2.3. sz. mell.'!C28</f>
        <v>0</v>
      </c>
      <c r="E28" s="571">
        <f t="shared" si="0"/>
        <v>0</v>
      </c>
      <c r="F28" s="573"/>
      <c r="G28" s="573"/>
      <c r="H28" s="573"/>
      <c r="I28" s="573"/>
      <c r="J28" s="573"/>
      <c r="K28" s="573"/>
      <c r="L28" s="573"/>
      <c r="M28" s="573"/>
      <c r="N28" s="573"/>
      <c r="O28" s="573"/>
      <c r="P28" s="573"/>
      <c r="Q28" s="573"/>
      <c r="R28" s="573"/>
      <c r="S28" s="573"/>
    </row>
    <row r="29" spans="1:19" s="228" customFormat="1" ht="12" customHeight="1" x14ac:dyDescent="0.2">
      <c r="A29" s="221" t="s">
        <v>211</v>
      </c>
      <c r="B29" s="222" t="s">
        <v>348</v>
      </c>
      <c r="C29" s="128"/>
      <c r="D29" s="394">
        <f>'9.2.1. sz. mell'!C29+'9.2.2. sz.  mell'!C29+'9.2.3. sz. mell.'!C29</f>
        <v>0</v>
      </c>
      <c r="E29" s="571">
        <f t="shared" si="0"/>
        <v>0</v>
      </c>
      <c r="F29" s="573"/>
      <c r="G29" s="573"/>
      <c r="H29" s="573"/>
      <c r="I29" s="573"/>
      <c r="J29" s="573"/>
      <c r="K29" s="573"/>
      <c r="L29" s="573"/>
      <c r="M29" s="573"/>
      <c r="N29" s="573"/>
      <c r="O29" s="573"/>
      <c r="P29" s="573"/>
      <c r="Q29" s="573"/>
      <c r="R29" s="573"/>
      <c r="S29" s="573"/>
    </row>
    <row r="30" spans="1:19" s="228" customFormat="1" ht="12" customHeight="1" x14ac:dyDescent="0.2">
      <c r="A30" s="221" t="s">
        <v>212</v>
      </c>
      <c r="B30" s="223" t="s">
        <v>350</v>
      </c>
      <c r="C30" s="128"/>
      <c r="D30" s="394">
        <f>'9.2.1. sz. mell'!C30+'9.2.2. sz.  mell'!C30+'9.2.3. sz. mell.'!C30</f>
        <v>0</v>
      </c>
      <c r="E30" s="571">
        <f t="shared" si="0"/>
        <v>0</v>
      </c>
      <c r="F30" s="573"/>
      <c r="G30" s="573"/>
      <c r="H30" s="573"/>
      <c r="I30" s="573"/>
      <c r="J30" s="573"/>
      <c r="K30" s="573"/>
      <c r="L30" s="573"/>
      <c r="M30" s="573"/>
      <c r="N30" s="573"/>
      <c r="O30" s="573"/>
      <c r="P30" s="573"/>
      <c r="Q30" s="573"/>
      <c r="R30" s="573"/>
      <c r="S30" s="573"/>
    </row>
    <row r="31" spans="1:19" s="228" customFormat="1" ht="12" customHeight="1" thickBot="1" x14ac:dyDescent="0.25">
      <c r="A31" s="220" t="s">
        <v>213</v>
      </c>
      <c r="B31" s="59" t="s">
        <v>513</v>
      </c>
      <c r="C31" s="1021"/>
      <c r="D31" s="394">
        <f>'9.2.1. sz. mell'!C31+'9.2.2. sz.  mell'!C31+'9.2.3. sz. mell.'!C31</f>
        <v>0</v>
      </c>
      <c r="E31" s="571">
        <f t="shared" si="0"/>
        <v>0</v>
      </c>
      <c r="F31" s="573"/>
      <c r="G31" s="573"/>
      <c r="H31" s="573"/>
      <c r="I31" s="573"/>
      <c r="J31" s="573"/>
      <c r="K31" s="573"/>
      <c r="L31" s="573"/>
      <c r="M31" s="573"/>
      <c r="N31" s="573"/>
      <c r="O31" s="573"/>
      <c r="P31" s="573"/>
      <c r="Q31" s="573"/>
      <c r="R31" s="573"/>
      <c r="S31" s="573"/>
    </row>
    <row r="32" spans="1:19" s="228" customFormat="1" ht="12" customHeight="1" thickBot="1" x14ac:dyDescent="0.25">
      <c r="A32" s="76" t="s">
        <v>23</v>
      </c>
      <c r="B32" s="56" t="s">
        <v>351</v>
      </c>
      <c r="C32" s="1022">
        <f>+C33+C34+C35</f>
        <v>0</v>
      </c>
      <c r="D32" s="394">
        <f>'9.2.1. sz. mell'!C32+'9.2.2. sz.  mell'!C32+'9.2.3. sz. mell.'!C32</f>
        <v>0</v>
      </c>
      <c r="E32" s="571">
        <f t="shared" si="0"/>
        <v>0</v>
      </c>
      <c r="F32" s="573"/>
      <c r="G32" s="573"/>
      <c r="H32" s="573"/>
      <c r="I32" s="573"/>
      <c r="J32" s="573"/>
      <c r="K32" s="573"/>
      <c r="L32" s="573"/>
      <c r="M32" s="573"/>
      <c r="N32" s="573"/>
      <c r="O32" s="573"/>
      <c r="P32" s="573"/>
      <c r="Q32" s="573"/>
      <c r="R32" s="573"/>
      <c r="S32" s="573"/>
    </row>
    <row r="33" spans="1:19" s="228" customFormat="1" ht="12" customHeight="1" x14ac:dyDescent="0.2">
      <c r="A33" s="221" t="s">
        <v>90</v>
      </c>
      <c r="B33" s="222" t="s">
        <v>234</v>
      </c>
      <c r="C33" s="1019"/>
      <c r="D33" s="394">
        <f>'9.2.1. sz. mell'!C33+'9.2.2. sz.  mell'!C33+'9.2.3. sz. mell.'!C33</f>
        <v>0</v>
      </c>
      <c r="E33" s="571">
        <f t="shared" si="0"/>
        <v>0</v>
      </c>
      <c r="F33" s="573"/>
      <c r="G33" s="573"/>
      <c r="H33" s="573"/>
      <c r="I33" s="573"/>
      <c r="J33" s="573"/>
      <c r="K33" s="573"/>
      <c r="L33" s="573"/>
      <c r="M33" s="573"/>
      <c r="N33" s="573"/>
      <c r="O33" s="573"/>
      <c r="P33" s="573"/>
      <c r="Q33" s="573"/>
      <c r="R33" s="573"/>
      <c r="S33" s="573"/>
    </row>
    <row r="34" spans="1:19" s="228" customFormat="1" ht="12" customHeight="1" x14ac:dyDescent="0.2">
      <c r="A34" s="221" t="s">
        <v>91</v>
      </c>
      <c r="B34" s="223" t="s">
        <v>235</v>
      </c>
      <c r="C34" s="131"/>
      <c r="D34" s="394">
        <f>'9.2.1. sz. mell'!C34+'9.2.2. sz.  mell'!C34+'9.2.3. sz. mell.'!C34</f>
        <v>0</v>
      </c>
      <c r="E34" s="571">
        <f t="shared" si="0"/>
        <v>0</v>
      </c>
      <c r="F34" s="573"/>
      <c r="G34" s="573"/>
      <c r="H34" s="573"/>
      <c r="I34" s="573"/>
      <c r="J34" s="573"/>
      <c r="K34" s="573"/>
      <c r="L34" s="573"/>
      <c r="M34" s="573"/>
      <c r="N34" s="573"/>
      <c r="O34" s="573"/>
      <c r="P34" s="573"/>
      <c r="Q34" s="573"/>
      <c r="R34" s="573"/>
      <c r="S34" s="573"/>
    </row>
    <row r="35" spans="1:19" s="228" customFormat="1" ht="12" customHeight="1" thickBot="1" x14ac:dyDescent="0.25">
      <c r="A35" s="220" t="s">
        <v>92</v>
      </c>
      <c r="B35" s="59" t="s">
        <v>236</v>
      </c>
      <c r="C35" s="1021"/>
      <c r="D35" s="394">
        <f>'9.2.1. sz. mell'!C35+'9.2.2. sz.  mell'!C35+'9.2.3. sz. mell.'!C35</f>
        <v>0</v>
      </c>
      <c r="E35" s="571">
        <f t="shared" si="0"/>
        <v>0</v>
      </c>
      <c r="F35" s="573"/>
      <c r="G35" s="573"/>
      <c r="H35" s="573"/>
      <c r="I35" s="573"/>
      <c r="J35" s="573"/>
      <c r="K35" s="573"/>
      <c r="L35" s="573"/>
      <c r="M35" s="573"/>
      <c r="N35" s="573"/>
      <c r="O35" s="573"/>
      <c r="P35" s="573"/>
      <c r="Q35" s="573"/>
      <c r="R35" s="573"/>
      <c r="S35" s="573"/>
    </row>
    <row r="36" spans="1:19" s="176" customFormat="1" ht="12" customHeight="1" thickBot="1" x14ac:dyDescent="0.25">
      <c r="A36" s="76" t="s">
        <v>24</v>
      </c>
      <c r="B36" s="56" t="s">
        <v>322</v>
      </c>
      <c r="C36" s="151"/>
      <c r="D36" s="394">
        <f>'9.2.1. sz. mell'!C36+'9.2.2. sz.  mell'!C36+'9.2.3. sz. mell.'!C36</f>
        <v>0</v>
      </c>
      <c r="E36" s="571">
        <f t="shared" si="0"/>
        <v>0</v>
      </c>
      <c r="F36" s="572"/>
      <c r="G36" s="572"/>
      <c r="H36" s="572"/>
      <c r="I36" s="572"/>
      <c r="J36" s="572"/>
      <c r="K36" s="572"/>
      <c r="L36" s="572"/>
      <c r="M36" s="572"/>
      <c r="N36" s="572"/>
      <c r="O36" s="572"/>
      <c r="P36" s="572"/>
      <c r="Q36" s="572"/>
      <c r="R36" s="572"/>
      <c r="S36" s="572"/>
    </row>
    <row r="37" spans="1:19" s="176" customFormat="1" ht="12" customHeight="1" thickBot="1" x14ac:dyDescent="0.25">
      <c r="A37" s="76" t="s">
        <v>25</v>
      </c>
      <c r="B37" s="56" t="s">
        <v>352</v>
      </c>
      <c r="C37" s="168"/>
      <c r="D37" s="394">
        <f>'9.2.1. sz. mell'!C37+'9.2.2. sz.  mell'!C37+'9.2.3. sz. mell.'!C37</f>
        <v>0</v>
      </c>
      <c r="E37" s="571">
        <f t="shared" si="0"/>
        <v>0</v>
      </c>
      <c r="F37" s="572"/>
      <c r="G37" s="572"/>
      <c r="H37" s="572"/>
      <c r="I37" s="572"/>
      <c r="J37" s="572"/>
      <c r="K37" s="572"/>
      <c r="L37" s="572"/>
      <c r="M37" s="572"/>
      <c r="N37" s="572"/>
      <c r="O37" s="572"/>
      <c r="P37" s="572"/>
      <c r="Q37" s="572"/>
      <c r="R37" s="572"/>
      <c r="S37" s="572"/>
    </row>
    <row r="38" spans="1:19" s="176" customFormat="1" ht="12" customHeight="1" thickBot="1" x14ac:dyDescent="0.25">
      <c r="A38" s="73" t="s">
        <v>26</v>
      </c>
      <c r="B38" s="56" t="s">
        <v>353</v>
      </c>
      <c r="C38" s="1023">
        <f>+C9+C21+C26+C27+C32+C36+C37</f>
        <v>10088614</v>
      </c>
      <c r="D38" s="394">
        <f>'9.2.1. sz. mell'!C38+'9.2.2. sz.  mell'!C38+'9.2.3. sz. mell.'!C38</f>
        <v>10088614</v>
      </c>
      <c r="E38" s="571">
        <f t="shared" si="0"/>
        <v>0</v>
      </c>
      <c r="F38" s="572"/>
      <c r="G38" s="572"/>
      <c r="H38" s="572"/>
      <c r="I38" s="572"/>
      <c r="J38" s="572"/>
      <c r="K38" s="572"/>
      <c r="L38" s="572"/>
      <c r="M38" s="572"/>
      <c r="N38" s="572"/>
      <c r="O38" s="572"/>
      <c r="P38" s="572"/>
      <c r="Q38" s="572"/>
      <c r="R38" s="572"/>
      <c r="S38" s="572"/>
    </row>
    <row r="39" spans="1:19" s="176" customFormat="1" ht="12" customHeight="1" thickBot="1" x14ac:dyDescent="0.25">
      <c r="A39" s="91" t="s">
        <v>27</v>
      </c>
      <c r="B39" s="56" t="s">
        <v>354</v>
      </c>
      <c r="C39" s="1023">
        <f>+C40+C41+C42</f>
        <v>229110175</v>
      </c>
      <c r="D39" s="394">
        <f>'9.2.1. sz. mell'!C39+'9.2.2. sz.  mell'!C39+'9.2.3. sz. mell.'!C39</f>
        <v>229110175</v>
      </c>
      <c r="E39" s="571">
        <f t="shared" si="0"/>
        <v>0</v>
      </c>
      <c r="F39" s="572"/>
      <c r="G39" s="572"/>
      <c r="H39" s="572"/>
      <c r="I39" s="572"/>
      <c r="J39" s="572"/>
      <c r="K39" s="572"/>
      <c r="L39" s="572"/>
      <c r="M39" s="572"/>
      <c r="N39" s="572"/>
      <c r="O39" s="572"/>
      <c r="P39" s="572"/>
      <c r="Q39" s="572"/>
      <c r="R39" s="572"/>
      <c r="S39" s="572"/>
    </row>
    <row r="40" spans="1:19" s="176" customFormat="1" ht="12" customHeight="1" x14ac:dyDescent="0.2">
      <c r="A40" s="221" t="s">
        <v>355</v>
      </c>
      <c r="B40" s="222" t="s">
        <v>179</v>
      </c>
      <c r="C40" s="1019">
        <v>216699</v>
      </c>
      <c r="D40" s="394">
        <f>'9.2.1. sz. mell'!C40+'9.2.2. sz.  mell'!C40+'9.2.3. sz. mell.'!C40</f>
        <v>216699</v>
      </c>
      <c r="E40" s="571">
        <f t="shared" si="0"/>
        <v>0</v>
      </c>
      <c r="F40" s="572"/>
      <c r="G40" s="572"/>
      <c r="H40" s="572"/>
      <c r="I40" s="572"/>
      <c r="J40" s="572"/>
      <c r="K40" s="1096"/>
      <c r="L40" s="572"/>
      <c r="M40" s="572"/>
      <c r="N40" s="572"/>
      <c r="O40" s="572"/>
      <c r="P40" s="572"/>
      <c r="Q40" s="572"/>
      <c r="R40" s="572"/>
      <c r="S40" s="572"/>
    </row>
    <row r="41" spans="1:19" s="176" customFormat="1" ht="12" customHeight="1" x14ac:dyDescent="0.2">
      <c r="A41" s="221" t="s">
        <v>356</v>
      </c>
      <c r="B41" s="223" t="s">
        <v>7</v>
      </c>
      <c r="C41" s="131"/>
      <c r="D41" s="394">
        <f>'9.2.1. sz. mell'!C41+'9.2.2. sz.  mell'!C41+'9.2.3. sz. mell.'!C41</f>
        <v>0</v>
      </c>
      <c r="E41" s="571">
        <f t="shared" si="0"/>
        <v>0</v>
      </c>
      <c r="F41" s="572"/>
      <c r="G41" s="572"/>
      <c r="H41" s="572"/>
      <c r="I41" s="572"/>
      <c r="J41" s="572"/>
      <c r="K41" s="572"/>
      <c r="L41" s="572"/>
      <c r="M41" s="572"/>
      <c r="N41" s="572"/>
      <c r="O41" s="572"/>
      <c r="P41" s="572"/>
      <c r="Q41" s="572"/>
      <c r="R41" s="572"/>
      <c r="S41" s="572"/>
    </row>
    <row r="42" spans="1:19" s="228" customFormat="1" ht="12" customHeight="1" thickBot="1" x14ac:dyDescent="0.25">
      <c r="A42" s="220" t="s">
        <v>357</v>
      </c>
      <c r="B42" s="59" t="s">
        <v>358</v>
      </c>
      <c r="C42" s="1021">
        <v>228893476</v>
      </c>
      <c r="D42" s="394">
        <f>'9.2.1. sz. mell'!C42+'9.2.2. sz.  mell'!C42+'9.2.3. sz. mell.'!C42</f>
        <v>228893476</v>
      </c>
      <c r="E42" s="571">
        <f t="shared" si="0"/>
        <v>0</v>
      </c>
      <c r="F42" s="573"/>
      <c r="G42" s="573"/>
      <c r="H42" s="573"/>
      <c r="I42" s="573"/>
      <c r="J42" s="573"/>
      <c r="K42" s="573"/>
      <c r="L42" s="573"/>
      <c r="M42" s="573"/>
      <c r="N42" s="573"/>
      <c r="O42" s="573"/>
      <c r="P42" s="573"/>
      <c r="Q42" s="573"/>
      <c r="R42" s="573"/>
      <c r="S42" s="573"/>
    </row>
    <row r="43" spans="1:19" s="228" customFormat="1" ht="15" customHeight="1" thickBot="1" x14ac:dyDescent="0.25">
      <c r="A43" s="91" t="s">
        <v>28</v>
      </c>
      <c r="B43" s="92" t="s">
        <v>359</v>
      </c>
      <c r="C43" s="171">
        <f>+C38+C39</f>
        <v>239198789</v>
      </c>
      <c r="D43" s="394">
        <f>'9.2.1. sz. mell'!C43+'9.2.2. sz.  mell'!C43+'9.2.3. sz. mell.'!C43</f>
        <v>239198789</v>
      </c>
      <c r="E43" s="571">
        <f t="shared" si="0"/>
        <v>0</v>
      </c>
      <c r="F43" s="573"/>
      <c r="G43" s="573"/>
      <c r="H43" s="573"/>
      <c r="I43" s="573"/>
      <c r="J43" s="573"/>
      <c r="K43" s="573"/>
      <c r="L43" s="573"/>
      <c r="M43" s="573"/>
      <c r="N43" s="573"/>
      <c r="O43" s="573"/>
      <c r="P43" s="573"/>
      <c r="Q43" s="573"/>
      <c r="R43" s="573"/>
      <c r="S43" s="573"/>
    </row>
    <row r="44" spans="1:19" s="228" customFormat="1" ht="15" customHeight="1" x14ac:dyDescent="0.2">
      <c r="A44" s="93"/>
      <c r="B44" s="94"/>
      <c r="C44" s="169"/>
      <c r="D44" s="394">
        <f>'9.2.1. sz. mell'!C44+'9.2.2. sz.  mell'!C44+'9.2.3. sz. mell.'!C44</f>
        <v>0</v>
      </c>
      <c r="E44" s="913"/>
      <c r="F44" s="573"/>
      <c r="G44" s="573"/>
      <c r="H44" s="573"/>
      <c r="I44" s="573"/>
      <c r="J44" s="573"/>
      <c r="K44" s="573"/>
      <c r="L44" s="573"/>
      <c r="M44" s="573"/>
      <c r="N44" s="573"/>
      <c r="O44" s="573"/>
      <c r="P44" s="573"/>
      <c r="Q44" s="573"/>
      <c r="R44" s="573"/>
      <c r="S44" s="573"/>
    </row>
    <row r="45" spans="1:19" ht="13.5" thickBot="1" x14ac:dyDescent="0.25">
      <c r="A45" s="95"/>
      <c r="B45" s="96"/>
      <c r="C45" s="170"/>
      <c r="D45" s="394">
        <f>'9.2.1. sz. mell'!C45+'9.2.2. sz.  mell'!C45+'9.2.3. sz. mell.'!C45</f>
        <v>0</v>
      </c>
    </row>
    <row r="46" spans="1:19" s="227" customFormat="1" ht="16.5" customHeight="1" thickBot="1" x14ac:dyDescent="0.25">
      <c r="A46" s="97"/>
      <c r="B46" s="98" t="s">
        <v>57</v>
      </c>
      <c r="C46" s="171"/>
      <c r="D46" s="394">
        <f>'9.2.1. sz. mell'!C46+'9.2.2. sz.  mell'!C46+'9.2.3. sz. mell.'!C46</f>
        <v>0</v>
      </c>
      <c r="E46" s="393"/>
      <c r="F46" s="570"/>
      <c r="G46" s="570"/>
      <c r="H46" s="570"/>
      <c r="I46" s="570"/>
      <c r="J46" s="570"/>
      <c r="K46" s="570"/>
      <c r="L46" s="570"/>
      <c r="M46" s="570"/>
      <c r="N46" s="570"/>
      <c r="O46" s="570"/>
      <c r="P46" s="570"/>
      <c r="Q46" s="570"/>
      <c r="R46" s="570"/>
      <c r="S46" s="570"/>
    </row>
    <row r="47" spans="1:19" s="229" customFormat="1" ht="12" customHeight="1" thickBot="1" x14ac:dyDescent="0.25">
      <c r="A47" s="76" t="s">
        <v>19</v>
      </c>
      <c r="B47" s="56" t="s">
        <v>360</v>
      </c>
      <c r="C47" s="1022">
        <f>SUM(C48:C52)</f>
        <v>236433590</v>
      </c>
      <c r="D47" s="394">
        <f>'9.2.1. sz. mell'!C47+'9.2.2. sz.  mell'!C47+'9.2.3. sz. mell.'!C47</f>
        <v>236433590</v>
      </c>
      <c r="E47" s="571">
        <f t="shared" ref="E47:E59" si="1">C47-D47</f>
        <v>0</v>
      </c>
      <c r="F47" s="574"/>
      <c r="G47" s="574"/>
      <c r="H47" s="574"/>
      <c r="I47" s="574"/>
      <c r="J47" s="574"/>
      <c r="K47" s="574"/>
      <c r="L47" s="574"/>
      <c r="M47" s="574"/>
      <c r="N47" s="574"/>
      <c r="O47" s="574"/>
      <c r="P47" s="574"/>
      <c r="Q47" s="574"/>
      <c r="R47" s="574"/>
      <c r="S47" s="574"/>
    </row>
    <row r="48" spans="1:19" ht="12" customHeight="1" x14ac:dyDescent="0.2">
      <c r="A48" s="220" t="s">
        <v>97</v>
      </c>
      <c r="B48" s="6" t="s">
        <v>49</v>
      </c>
      <c r="C48" s="1019">
        <v>166097510</v>
      </c>
      <c r="D48" s="394">
        <f>'9.2.1. sz. mell'!C48+'9.2.2. sz.  mell'!C48+'9.2.3. sz. mell.'!C48</f>
        <v>166097510</v>
      </c>
      <c r="E48" s="571">
        <f t="shared" si="1"/>
        <v>0</v>
      </c>
    </row>
    <row r="49" spans="1:19" ht="12" customHeight="1" x14ac:dyDescent="0.2">
      <c r="A49" s="220" t="s">
        <v>98</v>
      </c>
      <c r="B49" s="5" t="s">
        <v>146</v>
      </c>
      <c r="C49" s="1020">
        <v>29077925</v>
      </c>
      <c r="D49" s="394">
        <f>'9.2.1. sz. mell'!C49+'9.2.2. sz.  mell'!C49+'9.2.3. sz. mell.'!C49</f>
        <v>29077925</v>
      </c>
      <c r="E49" s="571">
        <f t="shared" si="1"/>
        <v>0</v>
      </c>
    </row>
    <row r="50" spans="1:19" ht="12" customHeight="1" x14ac:dyDescent="0.2">
      <c r="A50" s="220" t="s">
        <v>99</v>
      </c>
      <c r="B50" s="5" t="s">
        <v>122</v>
      </c>
      <c r="C50" s="1020">
        <v>41258155</v>
      </c>
      <c r="D50" s="394">
        <f>'9.2.1. sz. mell'!C50+'9.2.2. sz.  mell'!C50+'9.2.3. sz. mell.'!C50</f>
        <v>41258155</v>
      </c>
      <c r="E50" s="571">
        <f t="shared" si="1"/>
        <v>0</v>
      </c>
    </row>
    <row r="51" spans="1:19" ht="12" customHeight="1" x14ac:dyDescent="0.2">
      <c r="A51" s="220" t="s">
        <v>100</v>
      </c>
      <c r="B51" s="5" t="s">
        <v>147</v>
      </c>
      <c r="C51" s="1020"/>
      <c r="D51" s="394">
        <f>'9.2.1. sz. mell'!C51+'9.2.2. sz.  mell'!C51+'9.2.3. sz. mell.'!C51</f>
        <v>0</v>
      </c>
      <c r="E51" s="571">
        <f t="shared" si="1"/>
        <v>0</v>
      </c>
    </row>
    <row r="52" spans="1:19" ht="12" customHeight="1" thickBot="1" x14ac:dyDescent="0.25">
      <c r="A52" s="220" t="s">
        <v>123</v>
      </c>
      <c r="B52" s="5" t="s">
        <v>148</v>
      </c>
      <c r="C52" s="1020"/>
      <c r="D52" s="394">
        <f>'9.2.1. sz. mell'!C52+'9.2.2. sz.  mell'!C52+'9.2.3. sz. mell.'!C52</f>
        <v>0</v>
      </c>
      <c r="E52" s="571">
        <f t="shared" si="1"/>
        <v>0</v>
      </c>
    </row>
    <row r="53" spans="1:19" ht="12" customHeight="1" thickBot="1" x14ac:dyDescent="0.25">
      <c r="A53" s="76" t="s">
        <v>20</v>
      </c>
      <c r="B53" s="56" t="s">
        <v>361</v>
      </c>
      <c r="C53" s="1022">
        <f>SUM(C54:C56)</f>
        <v>2765199</v>
      </c>
      <c r="D53" s="394">
        <f>'9.2.1. sz. mell'!C53+'9.2.2. sz.  mell'!C53+'9.2.3. sz. mell.'!C53</f>
        <v>2765199</v>
      </c>
      <c r="E53" s="571">
        <f t="shared" si="1"/>
        <v>0</v>
      </c>
    </row>
    <row r="54" spans="1:19" s="229" customFormat="1" ht="12" customHeight="1" x14ac:dyDescent="0.2">
      <c r="A54" s="220" t="s">
        <v>103</v>
      </c>
      <c r="B54" s="6" t="s">
        <v>170</v>
      </c>
      <c r="C54" s="1019">
        <v>2765199</v>
      </c>
      <c r="D54" s="394">
        <f>'9.2.1. sz. mell'!C54+'9.2.2. sz.  mell'!C54+'9.2.3. sz. mell.'!C54</f>
        <v>2765199</v>
      </c>
      <c r="E54" s="571">
        <f t="shared" si="1"/>
        <v>0</v>
      </c>
      <c r="F54" s="574"/>
      <c r="G54" s="574"/>
      <c r="H54" s="574"/>
      <c r="I54" s="574"/>
      <c r="J54" s="574"/>
      <c r="K54" s="574"/>
      <c r="L54" s="574"/>
      <c r="M54" s="574"/>
      <c r="N54" s="574"/>
      <c r="O54" s="574"/>
      <c r="P54" s="574"/>
      <c r="Q54" s="574"/>
      <c r="R54" s="574"/>
      <c r="S54" s="574"/>
    </row>
    <row r="55" spans="1:19" ht="12" customHeight="1" x14ac:dyDescent="0.2">
      <c r="A55" s="220" t="s">
        <v>104</v>
      </c>
      <c r="B55" s="5" t="s">
        <v>150</v>
      </c>
      <c r="C55" s="1020"/>
      <c r="D55" s="394">
        <f>'9.2.1. sz. mell'!C55+'9.2.2. sz.  mell'!C55+'9.2.3. sz. mell.'!C55</f>
        <v>0</v>
      </c>
      <c r="E55" s="571">
        <f t="shared" si="1"/>
        <v>0</v>
      </c>
    </row>
    <row r="56" spans="1:19" ht="12" customHeight="1" x14ac:dyDescent="0.2">
      <c r="A56" s="220" t="s">
        <v>105</v>
      </c>
      <c r="B56" s="5" t="s">
        <v>58</v>
      </c>
      <c r="C56" s="1020"/>
      <c r="D56" s="394">
        <f>'9.2.1. sz. mell'!C56+'9.2.2. sz.  mell'!C56+'9.2.3. sz. mell.'!C56</f>
        <v>0</v>
      </c>
      <c r="E56" s="571">
        <f t="shared" si="1"/>
        <v>0</v>
      </c>
    </row>
    <row r="57" spans="1:19" ht="12" customHeight="1" thickBot="1" x14ac:dyDescent="0.25">
      <c r="A57" s="220" t="s">
        <v>106</v>
      </c>
      <c r="B57" s="5" t="s">
        <v>514</v>
      </c>
      <c r="C57" s="1020"/>
      <c r="D57" s="394">
        <f>'9.2.1. sz. mell'!C57+'9.2.2. sz.  mell'!C57+'9.2.3. sz. mell.'!C57</f>
        <v>0</v>
      </c>
      <c r="E57" s="571">
        <f t="shared" si="1"/>
        <v>0</v>
      </c>
    </row>
    <row r="58" spans="1:19" ht="12" customHeight="1" thickBot="1" x14ac:dyDescent="0.25">
      <c r="A58" s="76" t="s">
        <v>21</v>
      </c>
      <c r="B58" s="56" t="s">
        <v>13</v>
      </c>
      <c r="C58" s="151"/>
      <c r="D58" s="394">
        <f>'9.2.1. sz. mell'!C58+'9.2.2. sz.  mell'!C58+'9.2.3. sz. mell.'!C58</f>
        <v>0</v>
      </c>
      <c r="E58" s="571">
        <f t="shared" si="1"/>
        <v>0</v>
      </c>
    </row>
    <row r="59" spans="1:19" ht="15" customHeight="1" thickBot="1" x14ac:dyDescent="0.25">
      <c r="A59" s="76" t="s">
        <v>22</v>
      </c>
      <c r="B59" s="99" t="s">
        <v>515</v>
      </c>
      <c r="C59" s="172">
        <f>+C47+C53+C58</f>
        <v>239198789</v>
      </c>
      <c r="D59" s="394">
        <f>'9.2.1. sz. mell'!C59+'9.2.2. sz.  mell'!C59+'9.2.3. sz. mell.'!C59</f>
        <v>239198789</v>
      </c>
      <c r="E59" s="571">
        <f t="shared" si="1"/>
        <v>0</v>
      </c>
    </row>
    <row r="60" spans="1:19" ht="13.5" thickBot="1" x14ac:dyDescent="0.25">
      <c r="C60" s="356"/>
      <c r="D60" s="394">
        <f>'9.2.1. sz. mell'!C60+'9.2.2. sz.  mell'!C60+'9.2.3. sz. mell.'!C60</f>
        <v>0</v>
      </c>
      <c r="E60" s="395"/>
    </row>
    <row r="61" spans="1:19" ht="15" customHeight="1" thickBot="1" x14ac:dyDescent="0.25">
      <c r="A61" s="101" t="s">
        <v>508</v>
      </c>
      <c r="B61" s="102"/>
      <c r="C61" s="610">
        <f>47.375+1</f>
        <v>48.375</v>
      </c>
      <c r="D61" s="394">
        <f>'9.2.1. sz. mell'!C61+'9.2.2. sz.  mell'!C61+'9.2.3. sz. mell.'!C61</f>
        <v>48.38</v>
      </c>
      <c r="E61" s="571">
        <f>C61-D61</f>
        <v>-5.000000000002558E-3</v>
      </c>
    </row>
    <row r="62" spans="1:19" x14ac:dyDescent="0.2">
      <c r="I62" s="575"/>
    </row>
    <row r="64" spans="1:19" x14ac:dyDescent="0.2">
      <c r="B64" s="357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activeCell="B11" sqref="B11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908" customWidth="1"/>
    <col min="4" max="16384" width="9.33203125" style="908"/>
  </cols>
  <sheetData>
    <row r="1" spans="1:3" x14ac:dyDescent="0.2">
      <c r="A1" s="1468" t="str">
        <f>CONCATENATE("9.2.1. melléklet"," ",ALAPADATOK!A7," ",ALAPADATOK!B7," ",ALAPADATOK!C7," ",ALAPADATOK!D7," ",ALAPADATOK!E7," ",ALAPADATOK!F7," ",ALAPADATOK!G7," ",ALAPADATOK!H7)</f>
        <v>9.2.1.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224"/>
    </row>
    <row r="3" spans="1:3" s="225" customFormat="1" ht="35.2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362</v>
      </c>
      <c r="C4" s="175" t="s">
        <v>60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2">
        <f>SUM(C10:C20)</f>
        <v>9988614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28">
        <v>5076402</v>
      </c>
    </row>
    <row r="12" spans="1:3" s="176" customFormat="1" ht="12" customHeight="1" x14ac:dyDescent="0.2">
      <c r="A12" s="220" t="s">
        <v>99</v>
      </c>
      <c r="B12" s="5" t="s">
        <v>222</v>
      </c>
      <c r="C12" s="128">
        <v>2788648</v>
      </c>
    </row>
    <row r="13" spans="1:3" s="176" customFormat="1" ht="12" customHeight="1" x14ac:dyDescent="0.2">
      <c r="A13" s="220" t="s">
        <v>100</v>
      </c>
      <c r="B13" s="5" t="s">
        <v>223</v>
      </c>
      <c r="C13" s="128"/>
    </row>
    <row r="14" spans="1:3" s="176" customFormat="1" ht="12" customHeight="1" x14ac:dyDescent="0.2">
      <c r="A14" s="220" t="s">
        <v>123</v>
      </c>
      <c r="B14" s="5" t="s">
        <v>224</v>
      </c>
      <c r="C14" s="128"/>
    </row>
    <row r="15" spans="1:3" s="176" customFormat="1" ht="12" customHeight="1" x14ac:dyDescent="0.2">
      <c r="A15" s="220" t="s">
        <v>101</v>
      </c>
      <c r="B15" s="5" t="s">
        <v>345</v>
      </c>
      <c r="C15" s="128">
        <v>2123564</v>
      </c>
    </row>
    <row r="16" spans="1:3" s="176" customFormat="1" ht="12" customHeight="1" x14ac:dyDescent="0.2">
      <c r="A16" s="220" t="s">
        <v>102</v>
      </c>
      <c r="B16" s="4" t="s">
        <v>346</v>
      </c>
      <c r="C16" s="128"/>
    </row>
    <row r="17" spans="1:3" s="176" customFormat="1" ht="12" customHeight="1" x14ac:dyDescent="0.2">
      <c r="A17" s="220" t="s">
        <v>112</v>
      </c>
      <c r="B17" s="5" t="s">
        <v>227</v>
      </c>
      <c r="C17" s="167"/>
    </row>
    <row r="18" spans="1:3" s="228" customFormat="1" ht="12" customHeight="1" x14ac:dyDescent="0.2">
      <c r="A18" s="220" t="s">
        <v>113</v>
      </c>
      <c r="B18" s="5" t="s">
        <v>228</v>
      </c>
      <c r="C18" s="128"/>
    </row>
    <row r="19" spans="1:3" s="228" customFormat="1" ht="12" customHeight="1" x14ac:dyDescent="0.2">
      <c r="A19" s="220" t="s">
        <v>114</v>
      </c>
      <c r="B19" s="5" t="s">
        <v>440</v>
      </c>
      <c r="C19" s="129"/>
    </row>
    <row r="20" spans="1:3" s="228" customFormat="1" ht="12" customHeight="1" thickBot="1" x14ac:dyDescent="0.25">
      <c r="A20" s="220" t="s">
        <v>115</v>
      </c>
      <c r="B20" s="4" t="s">
        <v>229</v>
      </c>
      <c r="C20" s="129"/>
    </row>
    <row r="21" spans="1:3" s="176" customFormat="1" ht="12" customHeight="1" thickBot="1" x14ac:dyDescent="0.25">
      <c r="A21" s="73" t="s">
        <v>20</v>
      </c>
      <c r="B21" s="90" t="s">
        <v>347</v>
      </c>
      <c r="C21" s="1022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20"/>
    </row>
    <row r="24" spans="1:3" s="228" customFormat="1" ht="12" customHeight="1" x14ac:dyDescent="0.2">
      <c r="A24" s="220" t="s">
        <v>105</v>
      </c>
      <c r="B24" s="5" t="s">
        <v>349</v>
      </c>
      <c r="C24" s="1025"/>
    </row>
    <row r="25" spans="1:3" s="228" customFormat="1" ht="12" customHeight="1" thickBot="1" x14ac:dyDescent="0.25">
      <c r="A25" s="220" t="s">
        <v>106</v>
      </c>
      <c r="B25" s="5" t="s">
        <v>511</v>
      </c>
      <c r="C25" s="1020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2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1019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1021"/>
    </row>
    <row r="32" spans="1:3" s="228" customFormat="1" ht="12" customHeight="1" thickBot="1" x14ac:dyDescent="0.25">
      <c r="A32" s="76" t="s">
        <v>23</v>
      </c>
      <c r="B32" s="56" t="s">
        <v>351</v>
      </c>
      <c r="C32" s="1022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1019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228" customFormat="1" ht="12" customHeight="1" thickBot="1" x14ac:dyDescent="0.25">
      <c r="A35" s="220" t="s">
        <v>92</v>
      </c>
      <c r="B35" s="59" t="s">
        <v>236</v>
      </c>
      <c r="C35" s="1021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23">
        <f>+C9+C21+C26+C27+C32+C36+C37</f>
        <v>9988614</v>
      </c>
    </row>
    <row r="39" spans="1:3" s="176" customFormat="1" ht="12" customHeight="1" thickBot="1" x14ac:dyDescent="0.25">
      <c r="A39" s="91" t="s">
        <v>27</v>
      </c>
      <c r="B39" s="56" t="s">
        <v>354</v>
      </c>
      <c r="C39" s="1023">
        <f>+C40+C41+C42</f>
        <v>4390995</v>
      </c>
    </row>
    <row r="40" spans="1:3" s="176" customFormat="1" ht="12" customHeight="1" x14ac:dyDescent="0.2">
      <c r="A40" s="221" t="s">
        <v>355</v>
      </c>
      <c r="B40" s="222" t="s">
        <v>179</v>
      </c>
      <c r="C40" s="1019">
        <v>216699</v>
      </c>
    </row>
    <row r="41" spans="1:3" s="176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2" customHeight="1" thickBot="1" x14ac:dyDescent="0.25">
      <c r="A42" s="220" t="s">
        <v>357</v>
      </c>
      <c r="B42" s="59" t="s">
        <v>358</v>
      </c>
      <c r="C42" s="1021">
        <v>4174296</v>
      </c>
    </row>
    <row r="43" spans="1:3" s="228" customFormat="1" ht="15" customHeight="1" thickBot="1" x14ac:dyDescent="0.25">
      <c r="A43" s="91" t="s">
        <v>28</v>
      </c>
      <c r="B43" s="92" t="s">
        <v>359</v>
      </c>
      <c r="C43" s="171">
        <f>+C38+C39</f>
        <v>14379609</v>
      </c>
    </row>
    <row r="44" spans="1:3" s="228" customFormat="1" ht="15" customHeight="1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s="227" customFormat="1" ht="16.5" customHeight="1" thickBot="1" x14ac:dyDescent="0.25">
      <c r="A46" s="97"/>
      <c r="B46" s="98" t="s">
        <v>57</v>
      </c>
      <c r="C46" s="171"/>
    </row>
    <row r="47" spans="1:3" s="229" customFormat="1" ht="12" customHeight="1" thickBot="1" x14ac:dyDescent="0.25">
      <c r="A47" s="76" t="s">
        <v>19</v>
      </c>
      <c r="B47" s="56" t="s">
        <v>360</v>
      </c>
      <c r="C47" s="1022">
        <f>SUM(C48:C52)</f>
        <v>13591509</v>
      </c>
    </row>
    <row r="48" spans="1:3" ht="12" customHeight="1" x14ac:dyDescent="0.2">
      <c r="A48" s="220" t="s">
        <v>97</v>
      </c>
      <c r="B48" s="6" t="s">
        <v>49</v>
      </c>
      <c r="C48" s="1019">
        <v>7226713</v>
      </c>
    </row>
    <row r="49" spans="1:3" ht="12" customHeight="1" x14ac:dyDescent="0.2">
      <c r="A49" s="220" t="s">
        <v>98</v>
      </c>
      <c r="B49" s="5" t="s">
        <v>146</v>
      </c>
      <c r="C49" s="1020">
        <v>1117901</v>
      </c>
    </row>
    <row r="50" spans="1:3" ht="12" customHeight="1" x14ac:dyDescent="0.2">
      <c r="A50" s="220" t="s">
        <v>99</v>
      </c>
      <c r="B50" s="5" t="s">
        <v>122</v>
      </c>
      <c r="C50" s="1020">
        <v>5246895</v>
      </c>
    </row>
    <row r="51" spans="1:3" ht="12" customHeight="1" x14ac:dyDescent="0.2">
      <c r="A51" s="220" t="s">
        <v>100</v>
      </c>
      <c r="B51" s="5" t="s">
        <v>147</v>
      </c>
      <c r="C51" s="1020"/>
    </row>
    <row r="52" spans="1:3" ht="12" customHeight="1" thickBot="1" x14ac:dyDescent="0.25">
      <c r="A52" s="220" t="s">
        <v>123</v>
      </c>
      <c r="B52" s="5" t="s">
        <v>148</v>
      </c>
      <c r="C52" s="1020"/>
    </row>
    <row r="53" spans="1:3" ht="12" customHeight="1" thickBot="1" x14ac:dyDescent="0.25">
      <c r="A53" s="76" t="s">
        <v>20</v>
      </c>
      <c r="B53" s="56" t="s">
        <v>361</v>
      </c>
      <c r="C53" s="1022">
        <f>SUM(C54:C56)</f>
        <v>788100</v>
      </c>
    </row>
    <row r="54" spans="1:3" s="229" customFormat="1" ht="12" customHeight="1" x14ac:dyDescent="0.2">
      <c r="A54" s="220" t="s">
        <v>103</v>
      </c>
      <c r="B54" s="6" t="s">
        <v>170</v>
      </c>
      <c r="C54" s="1019">
        <v>788100</v>
      </c>
    </row>
    <row r="55" spans="1:3" ht="12" customHeight="1" x14ac:dyDescent="0.2">
      <c r="A55" s="220" t="s">
        <v>104</v>
      </c>
      <c r="B55" s="5" t="s">
        <v>150</v>
      </c>
      <c r="C55" s="1020"/>
    </row>
    <row r="56" spans="1:3" ht="12" customHeight="1" x14ac:dyDescent="0.2">
      <c r="A56" s="220" t="s">
        <v>105</v>
      </c>
      <c r="B56" s="5" t="s">
        <v>58</v>
      </c>
      <c r="C56" s="1020"/>
    </row>
    <row r="57" spans="1:3" ht="12" customHeight="1" thickBot="1" x14ac:dyDescent="0.25">
      <c r="A57" s="220" t="s">
        <v>106</v>
      </c>
      <c r="B57" s="5" t="s">
        <v>514</v>
      </c>
      <c r="C57" s="1020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14379609</v>
      </c>
    </row>
    <row r="60" spans="1:3" ht="15" customHeight="1" thickBot="1" x14ac:dyDescent="0.25">
      <c r="C60" s="356"/>
    </row>
    <row r="61" spans="1:3" ht="14.25" customHeight="1" thickBot="1" x14ac:dyDescent="0.25">
      <c r="A61" s="101" t="s">
        <v>508</v>
      </c>
      <c r="B61" s="102"/>
      <c r="C61" s="476">
        <v>2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12" sqref="B12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57" customWidth="1"/>
    <col min="4" max="16384" width="9.33203125" style="908"/>
  </cols>
  <sheetData>
    <row r="1" spans="1:3" x14ac:dyDescent="0.2">
      <c r="A1" s="1468" t="str">
        <f>CONCATENATE("9.2.2. melléklet ",ALAPADATOK!A7," ",ALAPADATOK!B7," ",ALAPADATOK!C7," ",ALAPADATOK!D7," ",ALAPADATOK!E7," ",ALAPADATOK!F7," ",ALAPADATOK!G7," ",ALAPADATOK!H7)</f>
        <v>9.2.2.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224"/>
    </row>
    <row r="3" spans="1:3" s="225" customFormat="1" ht="35.2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2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020"/>
    </row>
    <row r="12" spans="1:3" s="176" customFormat="1" ht="12" customHeight="1" x14ac:dyDescent="0.2">
      <c r="A12" s="220" t="s">
        <v>99</v>
      </c>
      <c r="B12" s="5" t="s">
        <v>222</v>
      </c>
      <c r="C12" s="1020"/>
    </row>
    <row r="13" spans="1:3" s="176" customFormat="1" ht="12" customHeight="1" x14ac:dyDescent="0.2">
      <c r="A13" s="220" t="s">
        <v>100</v>
      </c>
      <c r="B13" s="5" t="s">
        <v>223</v>
      </c>
      <c r="C13" s="1020"/>
    </row>
    <row r="14" spans="1:3" s="176" customFormat="1" ht="12" customHeight="1" x14ac:dyDescent="0.2">
      <c r="A14" s="220" t="s">
        <v>123</v>
      </c>
      <c r="B14" s="5" t="s">
        <v>224</v>
      </c>
      <c r="C14" s="1020"/>
    </row>
    <row r="15" spans="1:3" s="176" customFormat="1" ht="12" customHeight="1" x14ac:dyDescent="0.2">
      <c r="A15" s="220" t="s">
        <v>101</v>
      </c>
      <c r="B15" s="5" t="s">
        <v>345</v>
      </c>
      <c r="C15" s="1020"/>
    </row>
    <row r="16" spans="1:3" s="176" customFormat="1" ht="12" customHeight="1" x14ac:dyDescent="0.2">
      <c r="A16" s="220" t="s">
        <v>102</v>
      </c>
      <c r="B16" s="4" t="s">
        <v>346</v>
      </c>
      <c r="C16" s="1020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1020"/>
    </row>
    <row r="19" spans="1:3" s="228" customFormat="1" ht="12" customHeight="1" x14ac:dyDescent="0.2">
      <c r="A19" s="220" t="s">
        <v>114</v>
      </c>
      <c r="B19" s="5" t="s">
        <v>440</v>
      </c>
      <c r="C19" s="473"/>
    </row>
    <row r="20" spans="1:3" s="228" customFormat="1" ht="12" customHeight="1" thickBot="1" x14ac:dyDescent="0.25">
      <c r="A20" s="220" t="s">
        <v>115</v>
      </c>
      <c r="B20" s="4" t="s">
        <v>229</v>
      </c>
      <c r="C20" s="473"/>
    </row>
    <row r="21" spans="1:3" s="176" customFormat="1" ht="12" customHeight="1" thickBot="1" x14ac:dyDescent="0.25">
      <c r="A21" s="73" t="s">
        <v>20</v>
      </c>
      <c r="B21" s="90" t="s">
        <v>347</v>
      </c>
      <c r="C21" s="1022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20"/>
    </row>
    <row r="24" spans="1:3" s="228" customFormat="1" ht="12" customHeight="1" x14ac:dyDescent="0.2">
      <c r="A24" s="220" t="s">
        <v>105</v>
      </c>
      <c r="B24" s="5" t="s">
        <v>349</v>
      </c>
      <c r="C24" s="1025"/>
    </row>
    <row r="25" spans="1:3" s="228" customFormat="1" ht="12" customHeight="1" thickBot="1" x14ac:dyDescent="0.25">
      <c r="A25" s="220" t="s">
        <v>106</v>
      </c>
      <c r="B25" s="5" t="s">
        <v>511</v>
      </c>
      <c r="C25" s="1020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2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1019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1021"/>
    </row>
    <row r="32" spans="1:3" s="228" customFormat="1" ht="12" customHeight="1" thickBot="1" x14ac:dyDescent="0.25">
      <c r="A32" s="76" t="s">
        <v>23</v>
      </c>
      <c r="B32" s="56" t="s">
        <v>351</v>
      </c>
      <c r="C32" s="1022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1019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228" customFormat="1" ht="12" customHeight="1" thickBot="1" x14ac:dyDescent="0.25">
      <c r="A35" s="220" t="s">
        <v>92</v>
      </c>
      <c r="B35" s="59" t="s">
        <v>236</v>
      </c>
      <c r="C35" s="1021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23">
        <f>+C9+C21+C26+C27+C32+C36+C37</f>
        <v>0</v>
      </c>
    </row>
    <row r="39" spans="1:3" s="176" customFormat="1" ht="12" customHeight="1" thickBot="1" x14ac:dyDescent="0.25">
      <c r="A39" s="91" t="s">
        <v>27</v>
      </c>
      <c r="B39" s="56" t="s">
        <v>354</v>
      </c>
      <c r="C39" s="1023">
        <f>+C40+C41+C42</f>
        <v>108914</v>
      </c>
    </row>
    <row r="40" spans="1:3" s="176" customFormat="1" ht="12" customHeight="1" x14ac:dyDescent="0.2">
      <c r="A40" s="221" t="s">
        <v>355</v>
      </c>
      <c r="B40" s="222" t="s">
        <v>179</v>
      </c>
      <c r="C40" s="1019"/>
    </row>
    <row r="41" spans="1:3" s="176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2" customHeight="1" thickBot="1" x14ac:dyDescent="0.25">
      <c r="A42" s="220" t="s">
        <v>357</v>
      </c>
      <c r="B42" s="59" t="s">
        <v>358</v>
      </c>
      <c r="C42" s="1021">
        <v>108914</v>
      </c>
    </row>
    <row r="43" spans="1:3" s="228" customFormat="1" ht="15" customHeight="1" thickBot="1" x14ac:dyDescent="0.25">
      <c r="A43" s="91" t="s">
        <v>28</v>
      </c>
      <c r="B43" s="92" t="s">
        <v>359</v>
      </c>
      <c r="C43" s="171">
        <f>+C38+C39</f>
        <v>108914</v>
      </c>
    </row>
    <row r="44" spans="1:3" s="228" customFormat="1" ht="15" customHeight="1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s="227" customFormat="1" ht="16.5" customHeight="1" thickBot="1" x14ac:dyDescent="0.25">
      <c r="A46" s="97"/>
      <c r="B46" s="98" t="s">
        <v>57</v>
      </c>
      <c r="C46" s="171"/>
    </row>
    <row r="47" spans="1:3" s="229" customFormat="1" ht="12" customHeight="1" thickBot="1" x14ac:dyDescent="0.25">
      <c r="A47" s="76" t="s">
        <v>19</v>
      </c>
      <c r="B47" s="56" t="s">
        <v>360</v>
      </c>
      <c r="C47" s="1022">
        <f>SUM(C48:C52)</f>
        <v>108914</v>
      </c>
    </row>
    <row r="48" spans="1:3" ht="12" customHeight="1" x14ac:dyDescent="0.2">
      <c r="A48" s="220" t="s">
        <v>97</v>
      </c>
      <c r="B48" s="6" t="s">
        <v>49</v>
      </c>
      <c r="C48" s="1024"/>
    </row>
    <row r="49" spans="1:3" ht="12" customHeight="1" x14ac:dyDescent="0.2">
      <c r="A49" s="220" t="s">
        <v>98</v>
      </c>
      <c r="B49" s="5" t="s">
        <v>146</v>
      </c>
      <c r="C49" s="1020">
        <v>7314</v>
      </c>
    </row>
    <row r="50" spans="1:3" ht="12" customHeight="1" x14ac:dyDescent="0.2">
      <c r="A50" s="220" t="s">
        <v>99</v>
      </c>
      <c r="B50" s="5" t="s">
        <v>122</v>
      </c>
      <c r="C50" s="1020">
        <v>101600</v>
      </c>
    </row>
    <row r="51" spans="1:3" ht="12" customHeight="1" x14ac:dyDescent="0.2">
      <c r="A51" s="220" t="s">
        <v>100</v>
      </c>
      <c r="B51" s="5" t="s">
        <v>147</v>
      </c>
      <c r="C51" s="1020"/>
    </row>
    <row r="52" spans="1:3" ht="12" customHeight="1" thickBot="1" x14ac:dyDescent="0.25">
      <c r="A52" s="220" t="s">
        <v>123</v>
      </c>
      <c r="B52" s="5" t="s">
        <v>148</v>
      </c>
      <c r="C52" s="1020"/>
    </row>
    <row r="53" spans="1:3" ht="12" customHeight="1" thickBot="1" x14ac:dyDescent="0.25">
      <c r="A53" s="76" t="s">
        <v>20</v>
      </c>
      <c r="B53" s="56" t="s">
        <v>361</v>
      </c>
      <c r="C53" s="1022">
        <f>SUM(C54:C56)</f>
        <v>0</v>
      </c>
    </row>
    <row r="54" spans="1:3" s="229" customFormat="1" ht="12" customHeight="1" x14ac:dyDescent="0.2">
      <c r="A54" s="220" t="s">
        <v>103</v>
      </c>
      <c r="B54" s="6" t="s">
        <v>170</v>
      </c>
      <c r="C54" s="1024"/>
    </row>
    <row r="55" spans="1:3" ht="12" customHeight="1" x14ac:dyDescent="0.2">
      <c r="A55" s="220" t="s">
        <v>104</v>
      </c>
      <c r="B55" s="5" t="s">
        <v>150</v>
      </c>
      <c r="C55" s="1020"/>
    </row>
    <row r="56" spans="1:3" ht="12" customHeight="1" x14ac:dyDescent="0.2">
      <c r="A56" s="220" t="s">
        <v>105</v>
      </c>
      <c r="B56" s="5" t="s">
        <v>58</v>
      </c>
      <c r="C56" s="1020"/>
    </row>
    <row r="57" spans="1:3" ht="12" customHeight="1" thickBot="1" x14ac:dyDescent="0.25">
      <c r="A57" s="220" t="s">
        <v>106</v>
      </c>
      <c r="B57" s="5" t="s">
        <v>514</v>
      </c>
      <c r="C57" s="1020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108914</v>
      </c>
    </row>
    <row r="60" spans="1:3" ht="15" customHeight="1" thickBot="1" x14ac:dyDescent="0.25">
      <c r="C60" s="356"/>
    </row>
    <row r="61" spans="1:3" ht="14.25" customHeight="1" thickBot="1" x14ac:dyDescent="0.25">
      <c r="A61" s="101" t="s">
        <v>508</v>
      </c>
      <c r="B61" s="102"/>
      <c r="C61" s="47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zoomScale="115" zoomScaleNormal="115" workbookViewId="0">
      <selection activeCell="C17" sqref="C17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57" customWidth="1"/>
    <col min="4" max="16384" width="9.33203125" style="908"/>
  </cols>
  <sheetData>
    <row r="1" spans="1:3" x14ac:dyDescent="0.2">
      <c r="A1" s="1468" t="str">
        <f>CONCATENATE("9.2.3. melléklet"," ",ALAPADATOK!A7," ",ALAPADATOK!B7," ",ALAPADATOK!C7," ",ALAPADATOK!D7," ",ALAPADATOK!E7," ",ALAPADATOK!F7," ",ALAPADATOK!G7," ",ALAPADATOK!H7)</f>
        <v>9.2.3.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224"/>
    </row>
    <row r="3" spans="1:3" s="225" customFormat="1" ht="33.7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516</v>
      </c>
      <c r="C4" s="175" t="s">
        <v>376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2">
        <f>SUM(C10:C20)</f>
        <v>100000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020"/>
    </row>
    <row r="12" spans="1:3" s="176" customFormat="1" ht="12" customHeight="1" x14ac:dyDescent="0.2">
      <c r="A12" s="220" t="s">
        <v>99</v>
      </c>
      <c r="B12" s="5" t="s">
        <v>222</v>
      </c>
      <c r="C12" s="1020"/>
    </row>
    <row r="13" spans="1:3" s="176" customFormat="1" ht="12" customHeight="1" x14ac:dyDescent="0.2">
      <c r="A13" s="220" t="s">
        <v>100</v>
      </c>
      <c r="B13" s="5" t="s">
        <v>223</v>
      </c>
      <c r="C13" s="1020"/>
    </row>
    <row r="14" spans="1:3" s="176" customFormat="1" ht="12" customHeight="1" x14ac:dyDescent="0.2">
      <c r="A14" s="220" t="s">
        <v>123</v>
      </c>
      <c r="B14" s="5" t="s">
        <v>224</v>
      </c>
      <c r="C14" s="1020"/>
    </row>
    <row r="15" spans="1:3" s="176" customFormat="1" ht="12" customHeight="1" x14ac:dyDescent="0.2">
      <c r="A15" s="220" t="s">
        <v>101</v>
      </c>
      <c r="B15" s="5" t="s">
        <v>345</v>
      </c>
      <c r="C15" s="1020"/>
    </row>
    <row r="16" spans="1:3" s="176" customFormat="1" ht="12" customHeight="1" x14ac:dyDescent="0.2">
      <c r="A16" s="220" t="s">
        <v>102</v>
      </c>
      <c r="B16" s="4" t="s">
        <v>346</v>
      </c>
      <c r="C16" s="1020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1020"/>
    </row>
    <row r="19" spans="1:3" s="228" customFormat="1" ht="12" customHeight="1" x14ac:dyDescent="0.2">
      <c r="A19" s="220" t="s">
        <v>114</v>
      </c>
      <c r="B19" s="5" t="s">
        <v>440</v>
      </c>
      <c r="C19" s="473"/>
    </row>
    <row r="20" spans="1:3" s="228" customFormat="1" ht="12" customHeight="1" thickBot="1" x14ac:dyDescent="0.25">
      <c r="A20" s="220" t="s">
        <v>115</v>
      </c>
      <c r="B20" s="4" t="s">
        <v>229</v>
      </c>
      <c r="C20" s="473">
        <v>100000</v>
      </c>
    </row>
    <row r="21" spans="1:3" s="176" customFormat="1" ht="12" customHeight="1" thickBot="1" x14ac:dyDescent="0.25">
      <c r="A21" s="73" t="s">
        <v>20</v>
      </c>
      <c r="B21" s="90" t="s">
        <v>347</v>
      </c>
      <c r="C21" s="1022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20"/>
    </row>
    <row r="24" spans="1:3" s="228" customFormat="1" ht="12" customHeight="1" x14ac:dyDescent="0.2">
      <c r="A24" s="220" t="s">
        <v>105</v>
      </c>
      <c r="B24" s="5" t="s">
        <v>349</v>
      </c>
      <c r="C24" s="1025"/>
    </row>
    <row r="25" spans="1:3" s="228" customFormat="1" ht="12" customHeight="1" thickBot="1" x14ac:dyDescent="0.25">
      <c r="A25" s="220" t="s">
        <v>106</v>
      </c>
      <c r="B25" s="5" t="s">
        <v>511</v>
      </c>
      <c r="C25" s="1020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2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1019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1021"/>
    </row>
    <row r="32" spans="1:3" s="228" customFormat="1" ht="12" customHeight="1" thickBot="1" x14ac:dyDescent="0.25">
      <c r="A32" s="76" t="s">
        <v>23</v>
      </c>
      <c r="B32" s="56" t="s">
        <v>351</v>
      </c>
      <c r="C32" s="1022">
        <f>+C33+C34+C35</f>
        <v>0</v>
      </c>
    </row>
    <row r="33" spans="1:4" s="228" customFormat="1" ht="12" customHeight="1" x14ac:dyDescent="0.2">
      <c r="A33" s="221" t="s">
        <v>90</v>
      </c>
      <c r="B33" s="222" t="s">
        <v>234</v>
      </c>
      <c r="C33" s="1019"/>
    </row>
    <row r="34" spans="1:4" s="228" customFormat="1" ht="12" customHeight="1" x14ac:dyDescent="0.2">
      <c r="A34" s="221" t="s">
        <v>91</v>
      </c>
      <c r="B34" s="223" t="s">
        <v>235</v>
      </c>
      <c r="C34" s="131"/>
    </row>
    <row r="35" spans="1:4" s="228" customFormat="1" ht="12" customHeight="1" thickBot="1" x14ac:dyDescent="0.25">
      <c r="A35" s="220" t="s">
        <v>92</v>
      </c>
      <c r="B35" s="59" t="s">
        <v>236</v>
      </c>
      <c r="C35" s="1021"/>
    </row>
    <row r="36" spans="1:4" s="176" customFormat="1" ht="12" customHeight="1" thickBot="1" x14ac:dyDescent="0.25">
      <c r="A36" s="76" t="s">
        <v>24</v>
      </c>
      <c r="B36" s="56" t="s">
        <v>322</v>
      </c>
      <c r="C36" s="151"/>
    </row>
    <row r="37" spans="1:4" s="176" customFormat="1" ht="12" customHeight="1" thickBot="1" x14ac:dyDescent="0.25">
      <c r="A37" s="76" t="s">
        <v>25</v>
      </c>
      <c r="B37" s="56" t="s">
        <v>352</v>
      </c>
      <c r="C37" s="168"/>
    </row>
    <row r="38" spans="1:4" s="176" customFormat="1" ht="12" customHeight="1" thickBot="1" x14ac:dyDescent="0.25">
      <c r="A38" s="73" t="s">
        <v>26</v>
      </c>
      <c r="B38" s="56" t="s">
        <v>353</v>
      </c>
      <c r="C38" s="1023">
        <f>+C9+C21+C26+C27+C32+C36+C37</f>
        <v>100000</v>
      </c>
    </row>
    <row r="39" spans="1:4" s="176" customFormat="1" ht="12" customHeight="1" thickBot="1" x14ac:dyDescent="0.25">
      <c r="A39" s="91" t="s">
        <v>27</v>
      </c>
      <c r="B39" s="56" t="s">
        <v>354</v>
      </c>
      <c r="C39" s="1023">
        <f>+C40+C41+C42</f>
        <v>224610266</v>
      </c>
    </row>
    <row r="40" spans="1:4" s="176" customFormat="1" ht="12" customHeight="1" x14ac:dyDescent="0.2">
      <c r="A40" s="221" t="s">
        <v>355</v>
      </c>
      <c r="B40" s="222" t="s">
        <v>179</v>
      </c>
      <c r="C40" s="1019"/>
      <c r="D40" s="272"/>
    </row>
    <row r="41" spans="1:4" s="176" customFormat="1" ht="12" customHeight="1" x14ac:dyDescent="0.2">
      <c r="A41" s="221" t="s">
        <v>356</v>
      </c>
      <c r="B41" s="223" t="s">
        <v>7</v>
      </c>
      <c r="C41" s="131"/>
    </row>
    <row r="42" spans="1:4" s="228" customFormat="1" ht="12" customHeight="1" thickBot="1" x14ac:dyDescent="0.25">
      <c r="A42" s="220" t="s">
        <v>357</v>
      </c>
      <c r="B42" s="59" t="s">
        <v>358</v>
      </c>
      <c r="C42" s="1021">
        <v>224610266</v>
      </c>
    </row>
    <row r="43" spans="1:4" s="228" customFormat="1" ht="15" customHeight="1" thickBot="1" x14ac:dyDescent="0.25">
      <c r="A43" s="91" t="s">
        <v>28</v>
      </c>
      <c r="B43" s="92" t="s">
        <v>359</v>
      </c>
      <c r="C43" s="171">
        <f>+C38+C39</f>
        <v>224710266</v>
      </c>
    </row>
    <row r="44" spans="1:4" s="228" customFormat="1" ht="15" customHeight="1" x14ac:dyDescent="0.2">
      <c r="A44" s="93"/>
      <c r="B44" s="94"/>
      <c r="C44" s="169"/>
    </row>
    <row r="45" spans="1:4" ht="13.5" thickBot="1" x14ac:dyDescent="0.25">
      <c r="A45" s="95"/>
      <c r="B45" s="96"/>
      <c r="C45" s="170"/>
    </row>
    <row r="46" spans="1:4" s="227" customFormat="1" ht="16.5" customHeight="1" thickBot="1" x14ac:dyDescent="0.25">
      <c r="A46" s="97"/>
      <c r="B46" s="98" t="s">
        <v>57</v>
      </c>
      <c r="C46" s="171"/>
    </row>
    <row r="47" spans="1:4" s="229" customFormat="1" ht="12" customHeight="1" thickBot="1" x14ac:dyDescent="0.25">
      <c r="A47" s="76" t="s">
        <v>19</v>
      </c>
      <c r="B47" s="56" t="s">
        <v>360</v>
      </c>
      <c r="C47" s="1022">
        <f>SUM(C48:C52)</f>
        <v>222733167</v>
      </c>
    </row>
    <row r="48" spans="1:4" ht="12" customHeight="1" x14ac:dyDescent="0.2">
      <c r="A48" s="220" t="s">
        <v>97</v>
      </c>
      <c r="B48" s="6" t="s">
        <v>49</v>
      </c>
      <c r="C48" s="1019">
        <v>158870797</v>
      </c>
    </row>
    <row r="49" spans="1:3" ht="12" customHeight="1" x14ac:dyDescent="0.2">
      <c r="A49" s="220" t="s">
        <v>98</v>
      </c>
      <c r="B49" s="5" t="s">
        <v>146</v>
      </c>
      <c r="C49" s="1020">
        <v>27952710</v>
      </c>
    </row>
    <row r="50" spans="1:3" ht="12" customHeight="1" x14ac:dyDescent="0.2">
      <c r="A50" s="220" t="s">
        <v>99</v>
      </c>
      <c r="B50" s="5" t="s">
        <v>122</v>
      </c>
      <c r="C50" s="1020">
        <v>35909660</v>
      </c>
    </row>
    <row r="51" spans="1:3" ht="12" customHeight="1" x14ac:dyDescent="0.2">
      <c r="A51" s="220" t="s">
        <v>100</v>
      </c>
      <c r="B51" s="5" t="s">
        <v>147</v>
      </c>
      <c r="C51" s="1020"/>
    </row>
    <row r="52" spans="1:3" ht="12" customHeight="1" thickBot="1" x14ac:dyDescent="0.25">
      <c r="A52" s="220" t="s">
        <v>123</v>
      </c>
      <c r="B52" s="5" t="s">
        <v>148</v>
      </c>
      <c r="C52" s="1020"/>
    </row>
    <row r="53" spans="1:3" ht="12" customHeight="1" thickBot="1" x14ac:dyDescent="0.25">
      <c r="A53" s="76" t="s">
        <v>20</v>
      </c>
      <c r="B53" s="56" t="s">
        <v>361</v>
      </c>
      <c r="C53" s="1022">
        <f>SUM(C54:C56)</f>
        <v>1977099</v>
      </c>
    </row>
    <row r="54" spans="1:3" s="229" customFormat="1" ht="12" customHeight="1" x14ac:dyDescent="0.2">
      <c r="A54" s="220" t="s">
        <v>103</v>
      </c>
      <c r="B54" s="6" t="s">
        <v>170</v>
      </c>
      <c r="C54" s="1019">
        <v>1977099</v>
      </c>
    </row>
    <row r="55" spans="1:3" ht="12" customHeight="1" x14ac:dyDescent="0.2">
      <c r="A55" s="220" t="s">
        <v>104</v>
      </c>
      <c r="B55" s="5" t="s">
        <v>150</v>
      </c>
      <c r="C55" s="1020"/>
    </row>
    <row r="56" spans="1:3" ht="12" customHeight="1" x14ac:dyDescent="0.2">
      <c r="A56" s="220" t="s">
        <v>105</v>
      </c>
      <c r="B56" s="5" t="s">
        <v>58</v>
      </c>
      <c r="C56" s="1020"/>
    </row>
    <row r="57" spans="1:3" ht="12" customHeight="1" thickBot="1" x14ac:dyDescent="0.25">
      <c r="A57" s="220" t="s">
        <v>106</v>
      </c>
      <c r="B57" s="5" t="s">
        <v>514</v>
      </c>
      <c r="C57" s="1020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224710266</v>
      </c>
    </row>
    <row r="60" spans="1:3" ht="15" customHeight="1" thickBot="1" x14ac:dyDescent="0.25">
      <c r="C60" s="356"/>
    </row>
    <row r="61" spans="1:3" ht="14.25" customHeight="1" thickBot="1" x14ac:dyDescent="0.25">
      <c r="A61" s="101" t="s">
        <v>508</v>
      </c>
      <c r="B61" s="102"/>
      <c r="C61" s="476">
        <v>46.38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4" width="0" style="908" hidden="1" customWidth="1"/>
    <col min="5" max="5" width="11.83203125" style="931" hidden="1" customWidth="1"/>
    <col min="6" max="6" width="9.83203125" style="931" hidden="1" customWidth="1"/>
    <col min="7" max="7" width="8" style="908" hidden="1" customWidth="1"/>
    <col min="8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6" x14ac:dyDescent="0.2">
      <c r="A1" s="1468" t="str">
        <f>CONCATENATE("9.3. melléklet"," ",ALAPADATOK!A7," ",ALAPADATOK!B7," ",ALAPADATOK!C7," ",ALAPADATOK!D7," ",ALAPADATOK!E7," ",ALAPADATOK!F7," ",ALAPADATOK!G7," ",ALAPADATOK!H7)</f>
        <v>9.3. melléklet a 2 / 2021. ( II.15. ) önkormányzati rendelethez</v>
      </c>
      <c r="B1" s="1468"/>
      <c r="C1" s="1468"/>
    </row>
    <row r="2" spans="1:6" s="80" customFormat="1" ht="21" customHeight="1" thickBot="1" x14ac:dyDescent="0.25">
      <c r="A2" s="79"/>
      <c r="B2" s="81"/>
      <c r="C2" s="366"/>
      <c r="E2" s="931"/>
      <c r="F2" s="931"/>
    </row>
    <row r="3" spans="1:6" s="225" customFormat="1" ht="33" customHeight="1" x14ac:dyDescent="0.2">
      <c r="A3" s="182" t="s">
        <v>164</v>
      </c>
      <c r="B3" s="161" t="s">
        <v>401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50">
        <f>SUM(C10:C20)</f>
        <v>8197206</v>
      </c>
      <c r="E9" s="564">
        <f>'9.3.1. sz. mell EOI'!C9+'9.3.2.sz.mell EOI'!C9</f>
        <v>8197206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1"/>
      <c r="E10" s="564">
        <f>'9.3.1. sz. mell EOI'!C10+'9.3.2.sz.mell EOI'!C10</f>
        <v>0</v>
      </c>
      <c r="F10" s="564">
        <f t="shared" ref="F10:F60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52">
        <v>600000</v>
      </c>
      <c r="E11" s="564">
        <f>'9.3.1. sz. mell EOI'!C11+'9.3.2.sz.mell EOI'!C11</f>
        <v>600000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52">
        <v>4600000</v>
      </c>
      <c r="E12" s="564">
        <f>'9.3.1. sz. mell EOI'!C12+'9.3.2.sz.mell EOI'!C12</f>
        <v>4600000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52"/>
      <c r="E13" s="564">
        <f>'9.3.1. sz. mell EOI'!C13+'9.3.2.sz.mell EOI'!C13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52">
        <v>1011380</v>
      </c>
      <c r="E14" s="564">
        <f>'9.3.1. sz. mell EOI'!C14+'9.3.2.sz.mell EOI'!C14</f>
        <v>1011380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52">
        <v>1677073</v>
      </c>
      <c r="E15" s="564">
        <f>'9.3.1. sz. mell EOI'!C15+'9.3.2.sz.mell EOI'!C15</f>
        <v>1677073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52">
        <v>305753</v>
      </c>
      <c r="E16" s="564">
        <f>'9.3.1. sz. mell EOI'!C16+'9.3.2.sz.mell EOI'!C16</f>
        <v>305753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3"/>
      <c r="E17" s="564">
        <f>'9.3.1. sz. mell EOI'!C17+'9.3.2.sz.mell EOI'!C17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2"/>
      <c r="E18" s="564">
        <f>'9.3.1. sz. mell EOI'!C18+'9.3.2.sz.mell EOI'!C18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4"/>
      <c r="E19" s="564">
        <f>'9.3.1. sz. mell EOI'!C19+'9.3.2.sz.mell EOI'!C19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4">
        <v>3000</v>
      </c>
      <c r="E20" s="564">
        <f>'9.3.1. sz. mell EOI'!C20+'9.3.2.sz.mell EOI'!C20</f>
        <v>3000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50">
        <f>SUM(C22:C24)</f>
        <v>0</v>
      </c>
      <c r="E21" s="564">
        <f>'9.3.1. sz. mell EOI'!C21+'9.3.2.sz.mell EOI'!C21</f>
        <v>0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5"/>
      <c r="E22" s="564">
        <f>'9.3.1. sz. mell EOI'!C22+'9.3.2.sz.mell EOI'!C22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2"/>
      <c r="E23" s="564">
        <f>'9.3.1. sz. mell EOI'!C23+'9.3.2.sz.mell EOI'!C23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56"/>
      <c r="E24" s="564">
        <f>'9.3.1. sz. mell EOI'!C24+'9.3.2.sz.mell EOI'!C24</f>
        <v>0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2"/>
      <c r="E25" s="564">
        <f>'9.3.1. sz. mell EOI'!C25+'9.3.2.sz.mell EOI'!C25</f>
        <v>0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7"/>
      <c r="E26" s="564">
        <f>'9.3.1. sz. mell EOI'!C26+'9.3.2.sz.mell EOI'!C26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50">
        <f>+C28+C29</f>
        <v>0</v>
      </c>
      <c r="E27" s="564">
        <f>'9.3.1. sz. mell EOI'!C27+'9.3.2.sz.mell EOI'!C27</f>
        <v>0</v>
      </c>
      <c r="F27" s="564">
        <f t="shared" si="0"/>
        <v>0</v>
      </c>
    </row>
    <row r="28" spans="1:6" s="228" customFormat="1" ht="12" customHeight="1" x14ac:dyDescent="0.2">
      <c r="A28" s="221" t="s">
        <v>211</v>
      </c>
      <c r="B28" s="222" t="s">
        <v>348</v>
      </c>
      <c r="C28" s="655"/>
      <c r="E28" s="564">
        <f>'9.3.1. sz. mell EOI'!C29+'9.3.2.sz.mell EOI'!C29</f>
        <v>0</v>
      </c>
      <c r="F28" s="564">
        <f t="shared" si="0"/>
        <v>0</v>
      </c>
    </row>
    <row r="29" spans="1:6" s="228" customFormat="1" ht="12" customHeight="1" x14ac:dyDescent="0.2">
      <c r="A29" s="221" t="s">
        <v>212</v>
      </c>
      <c r="B29" s="223" t="s">
        <v>350</v>
      </c>
      <c r="C29" s="655"/>
      <c r="E29" s="564">
        <f>'9.3.1. sz. mell EOI'!C30+'9.3.2.sz.mell EOI'!C30</f>
        <v>0</v>
      </c>
      <c r="F29" s="564">
        <f t="shared" si="0"/>
        <v>0</v>
      </c>
    </row>
    <row r="30" spans="1:6" s="228" customFormat="1" ht="12" customHeight="1" thickBot="1" x14ac:dyDescent="0.25">
      <c r="A30" s="220" t="s">
        <v>213</v>
      </c>
      <c r="B30" s="59" t="s">
        <v>513</v>
      </c>
      <c r="C30" s="659"/>
      <c r="E30" s="564">
        <f>'9.3.1. sz. mell EOI'!C31+'9.3.2.sz.mell EOI'!C31</f>
        <v>0</v>
      </c>
      <c r="F30" s="564">
        <f t="shared" si="0"/>
        <v>0</v>
      </c>
    </row>
    <row r="31" spans="1:6" s="228" customFormat="1" ht="12" customHeight="1" thickBot="1" x14ac:dyDescent="0.25">
      <c r="A31" s="76" t="s">
        <v>23</v>
      </c>
      <c r="B31" s="56" t="s">
        <v>351</v>
      </c>
      <c r="C31" s="650">
        <f>+C32+C33+C34</f>
        <v>0</v>
      </c>
      <c r="E31" s="564">
        <f>'9.3.1. sz. mell EOI'!C32+'9.3.2.sz.mell EOI'!C32</f>
        <v>0</v>
      </c>
      <c r="F31" s="564">
        <f t="shared" si="0"/>
        <v>0</v>
      </c>
    </row>
    <row r="32" spans="1:6" s="228" customFormat="1" ht="12" customHeight="1" x14ac:dyDescent="0.2">
      <c r="A32" s="221" t="s">
        <v>90</v>
      </c>
      <c r="B32" s="222" t="s">
        <v>234</v>
      </c>
      <c r="C32" s="658"/>
      <c r="E32" s="564">
        <f>'9.3.1. sz. mell EOI'!C33+'9.3.2.sz.mell EOI'!C33</f>
        <v>0</v>
      </c>
      <c r="F32" s="564">
        <f t="shared" si="0"/>
        <v>0</v>
      </c>
    </row>
    <row r="33" spans="1:6" s="228" customFormat="1" ht="12" customHeight="1" x14ac:dyDescent="0.2">
      <c r="A33" s="221" t="s">
        <v>91</v>
      </c>
      <c r="B33" s="223" t="s">
        <v>235</v>
      </c>
      <c r="C33" s="653"/>
      <c r="E33" s="564">
        <f>'9.3.1. sz. mell EOI'!C34+'9.3.2.sz.mell EOI'!C34</f>
        <v>0</v>
      </c>
      <c r="F33" s="564">
        <f t="shared" si="0"/>
        <v>0</v>
      </c>
    </row>
    <row r="34" spans="1:6" s="176" customFormat="1" ht="12" customHeight="1" thickBot="1" x14ac:dyDescent="0.25">
      <c r="A34" s="220" t="s">
        <v>92</v>
      </c>
      <c r="B34" s="59" t="s">
        <v>236</v>
      </c>
      <c r="C34" s="659"/>
      <c r="E34" s="564">
        <f>'9.3.1. sz. mell EOI'!C35+'9.3.2.sz.mell EOI'!C35</f>
        <v>0</v>
      </c>
      <c r="F34" s="564">
        <f t="shared" si="0"/>
        <v>0</v>
      </c>
    </row>
    <row r="35" spans="1:6" s="176" customFormat="1" ht="12" customHeight="1" thickBot="1" x14ac:dyDescent="0.25">
      <c r="A35" s="76" t="s">
        <v>24</v>
      </c>
      <c r="B35" s="56" t="s">
        <v>322</v>
      </c>
      <c r="C35" s="657"/>
      <c r="E35" s="564">
        <f>'9.3.1. sz. mell EOI'!C36+'9.3.2.sz.mell EOI'!C36</f>
        <v>0</v>
      </c>
      <c r="F35" s="564">
        <f t="shared" si="0"/>
        <v>0</v>
      </c>
    </row>
    <row r="36" spans="1:6" s="176" customFormat="1" ht="12" customHeight="1" thickBot="1" x14ac:dyDescent="0.25">
      <c r="A36" s="76" t="s">
        <v>25</v>
      </c>
      <c r="B36" s="56" t="s">
        <v>352</v>
      </c>
      <c r="C36" s="660"/>
      <c r="E36" s="564">
        <f>'9.3.1. sz. mell EOI'!C37+'9.3.2.sz.mell EOI'!C37</f>
        <v>0</v>
      </c>
      <c r="F36" s="564">
        <f t="shared" si="0"/>
        <v>0</v>
      </c>
    </row>
    <row r="37" spans="1:6" s="176" customFormat="1" ht="12" customHeight="1" thickBot="1" x14ac:dyDescent="0.25">
      <c r="A37" s="73" t="s">
        <v>26</v>
      </c>
      <c r="B37" s="56" t="s">
        <v>353</v>
      </c>
      <c r="C37" s="661">
        <f>+C9+C21+C26+C27+C31+C35+C36</f>
        <v>8197206</v>
      </c>
      <c r="E37" s="564">
        <f>'9.3.1. sz. mell EOI'!C38+'9.3.2.sz.mell EOI'!C38</f>
        <v>8197206</v>
      </c>
      <c r="F37" s="564">
        <f t="shared" si="0"/>
        <v>0</v>
      </c>
    </row>
    <row r="38" spans="1:6" s="176" customFormat="1" ht="12" customHeight="1" thickBot="1" x14ac:dyDescent="0.25">
      <c r="A38" s="91" t="s">
        <v>27</v>
      </c>
      <c r="B38" s="56" t="s">
        <v>354</v>
      </c>
      <c r="C38" s="661">
        <f>+C39+C40+C41</f>
        <v>337200312</v>
      </c>
      <c r="E38" s="564">
        <f>'9.3.1. sz. mell EOI'!C39+'9.3.2.sz.mell EOI'!C39</f>
        <v>337200312</v>
      </c>
      <c r="F38" s="564">
        <f t="shared" si="0"/>
        <v>0</v>
      </c>
    </row>
    <row r="39" spans="1:6" s="176" customFormat="1" ht="12" customHeight="1" x14ac:dyDescent="0.2">
      <c r="A39" s="221" t="s">
        <v>355</v>
      </c>
      <c r="B39" s="222" t="s">
        <v>179</v>
      </c>
      <c r="C39" s="658">
        <v>1261346</v>
      </c>
      <c r="E39" s="564">
        <f>'9.3.1. sz. mell EOI'!C40+'9.3.2.sz.mell EOI'!C40</f>
        <v>1261346</v>
      </c>
      <c r="F39" s="564">
        <f t="shared" si="0"/>
        <v>0</v>
      </c>
    </row>
    <row r="40" spans="1:6" s="228" customFormat="1" ht="12" customHeight="1" x14ac:dyDescent="0.2">
      <c r="A40" s="221" t="s">
        <v>356</v>
      </c>
      <c r="B40" s="223" t="s">
        <v>7</v>
      </c>
      <c r="C40" s="653"/>
      <c r="E40" s="564">
        <f>'9.3.1. sz. mell EOI'!C41+'9.3.2.sz.mell EOI'!C41</f>
        <v>0</v>
      </c>
      <c r="F40" s="564">
        <f t="shared" si="0"/>
        <v>0</v>
      </c>
    </row>
    <row r="41" spans="1:6" s="228" customFormat="1" ht="15" customHeight="1" thickBot="1" x14ac:dyDescent="0.25">
      <c r="A41" s="220" t="s">
        <v>357</v>
      </c>
      <c r="B41" s="59" t="s">
        <v>358</v>
      </c>
      <c r="C41" s="659">
        <f>335938966</f>
        <v>335938966</v>
      </c>
      <c r="E41" s="564">
        <f>'9.3.1. sz. mell EOI'!C42+'9.3.2.sz.mell EOI'!C42</f>
        <v>335938966</v>
      </c>
      <c r="F41" s="564">
        <f t="shared" si="0"/>
        <v>0</v>
      </c>
    </row>
    <row r="42" spans="1:6" s="228" customFormat="1" ht="15" customHeight="1" thickBot="1" x14ac:dyDescent="0.25">
      <c r="A42" s="91" t="s">
        <v>28</v>
      </c>
      <c r="B42" s="92" t="s">
        <v>359</v>
      </c>
      <c r="C42" s="662">
        <f>+C37+C38</f>
        <v>345397518</v>
      </c>
      <c r="E42" s="564">
        <f>'9.3.1. sz. mell EOI'!C43+'9.3.2.sz.mell EOI'!C43</f>
        <v>345397518</v>
      </c>
      <c r="F42" s="564">
        <f t="shared" si="0"/>
        <v>0</v>
      </c>
    </row>
    <row r="43" spans="1:6" x14ac:dyDescent="0.2">
      <c r="A43" s="93"/>
      <c r="B43" s="94"/>
      <c r="C43" s="663"/>
      <c r="E43" s="564">
        <f>'9.3.1. sz. mell EOI'!C44+'9.3.2.sz.mell EOI'!C44</f>
        <v>0</v>
      </c>
      <c r="F43" s="564">
        <f t="shared" si="0"/>
        <v>0</v>
      </c>
    </row>
    <row r="44" spans="1:6" s="227" customFormat="1" ht="16.5" customHeight="1" thickBot="1" x14ac:dyDescent="0.25">
      <c r="A44" s="95"/>
      <c r="B44" s="96"/>
      <c r="C44" s="664"/>
      <c r="E44" s="564">
        <f>'9.3.1. sz. mell EOI'!C45+'9.3.2.sz.mell EOI'!C45</f>
        <v>0</v>
      </c>
      <c r="F44" s="564">
        <f t="shared" si="0"/>
        <v>0</v>
      </c>
    </row>
    <row r="45" spans="1:6" s="229" customFormat="1" ht="12" customHeight="1" thickBot="1" x14ac:dyDescent="0.25">
      <c r="A45" s="97"/>
      <c r="B45" s="98" t="s">
        <v>57</v>
      </c>
      <c r="C45" s="662"/>
      <c r="E45" s="564">
        <f>'9.3.1. sz. mell EOI'!C46+'9.3.2.sz.mell EOI'!C46</f>
        <v>0</v>
      </c>
      <c r="F45" s="564">
        <f t="shared" si="0"/>
        <v>0</v>
      </c>
    </row>
    <row r="46" spans="1:6" ht="12" customHeight="1" thickBot="1" x14ac:dyDescent="0.25">
      <c r="A46" s="76" t="s">
        <v>19</v>
      </c>
      <c r="B46" s="56" t="s">
        <v>360</v>
      </c>
      <c r="C46" s="650">
        <f>SUM(C47:C51)</f>
        <v>344280018</v>
      </c>
      <c r="E46" s="564">
        <f>'9.3.1. sz. mell EOI'!C47+'9.3.2.sz.mell EOI'!C47</f>
        <v>344280018</v>
      </c>
      <c r="F46" s="564">
        <f t="shared" si="0"/>
        <v>0</v>
      </c>
    </row>
    <row r="47" spans="1:6" ht="12" customHeight="1" x14ac:dyDescent="0.2">
      <c r="A47" s="220" t="s">
        <v>97</v>
      </c>
      <c r="B47" s="6" t="s">
        <v>49</v>
      </c>
      <c r="C47" s="658">
        <f>218334179</f>
        <v>218334179</v>
      </c>
      <c r="E47" s="564">
        <f>'9.3.1. sz. mell EOI'!C48+'9.3.2.sz.mell EOI'!C48</f>
        <v>218334179</v>
      </c>
      <c r="F47" s="564">
        <f t="shared" si="0"/>
        <v>0</v>
      </c>
    </row>
    <row r="48" spans="1:6" ht="12" customHeight="1" x14ac:dyDescent="0.2">
      <c r="A48" s="220" t="s">
        <v>98</v>
      </c>
      <c r="B48" s="5" t="s">
        <v>146</v>
      </c>
      <c r="C48" s="652">
        <f>38909967</f>
        <v>38909967</v>
      </c>
      <c r="E48" s="564">
        <f>'9.3.1. sz. mell EOI'!C49+'9.3.2.sz.mell EOI'!C49</f>
        <v>38909967</v>
      </c>
      <c r="F48" s="564">
        <f t="shared" si="0"/>
        <v>0</v>
      </c>
    </row>
    <row r="49" spans="1:6" ht="12" customHeight="1" x14ac:dyDescent="0.2">
      <c r="A49" s="220" t="s">
        <v>99</v>
      </c>
      <c r="B49" s="5" t="s">
        <v>122</v>
      </c>
      <c r="C49" s="652">
        <f>87035872</f>
        <v>87035872</v>
      </c>
      <c r="E49" s="564">
        <f>'9.3.1. sz. mell EOI'!C50+'9.3.2.sz.mell EOI'!C50</f>
        <v>87035872</v>
      </c>
      <c r="F49" s="564">
        <f t="shared" si="0"/>
        <v>0</v>
      </c>
    </row>
    <row r="50" spans="1:6" ht="12" customHeight="1" x14ac:dyDescent="0.2">
      <c r="A50" s="220" t="s">
        <v>100</v>
      </c>
      <c r="B50" s="5" t="s">
        <v>147</v>
      </c>
      <c r="C50" s="652"/>
      <c r="E50" s="564">
        <f>'9.3.1. sz. mell EOI'!C51+'9.3.2.sz.mell EOI'!C51</f>
        <v>0</v>
      </c>
      <c r="F50" s="564">
        <f t="shared" si="0"/>
        <v>0</v>
      </c>
    </row>
    <row r="51" spans="1:6" ht="12" customHeight="1" thickBot="1" x14ac:dyDescent="0.25">
      <c r="A51" s="220" t="s">
        <v>123</v>
      </c>
      <c r="B51" s="5" t="s">
        <v>148</v>
      </c>
      <c r="C51" s="652"/>
      <c r="E51" s="564">
        <f>'9.3.1. sz. mell EOI'!C52+'9.3.2.sz.mell EOI'!C52</f>
        <v>0</v>
      </c>
      <c r="F51" s="564">
        <f t="shared" si="0"/>
        <v>0</v>
      </c>
    </row>
    <row r="52" spans="1:6" s="229" customFormat="1" ht="12" customHeight="1" thickBot="1" x14ac:dyDescent="0.25">
      <c r="A52" s="76" t="s">
        <v>20</v>
      </c>
      <c r="B52" s="56" t="s">
        <v>361</v>
      </c>
      <c r="C52" s="650">
        <f>SUM(C53:C55)</f>
        <v>1117500</v>
      </c>
      <c r="E52" s="564">
        <f>'9.3.1. sz. mell EOI'!C53+'9.3.2.sz.mell EOI'!C53</f>
        <v>1117500</v>
      </c>
      <c r="F52" s="564">
        <f t="shared" si="0"/>
        <v>0</v>
      </c>
    </row>
    <row r="53" spans="1:6" ht="12" customHeight="1" x14ac:dyDescent="0.2">
      <c r="A53" s="220" t="s">
        <v>103</v>
      </c>
      <c r="B53" s="6" t="s">
        <v>170</v>
      </c>
      <c r="C53" s="658">
        <v>800000</v>
      </c>
      <c r="E53" s="564">
        <f>'9.3.1. sz. mell EOI'!C54+'9.3.2.sz.mell EOI'!C54</f>
        <v>800000</v>
      </c>
      <c r="F53" s="564">
        <f t="shared" si="0"/>
        <v>0</v>
      </c>
    </row>
    <row r="54" spans="1:6" ht="12" customHeight="1" x14ac:dyDescent="0.2">
      <c r="A54" s="220" t="s">
        <v>104</v>
      </c>
      <c r="B54" s="5" t="s">
        <v>150</v>
      </c>
      <c r="C54" s="652">
        <v>317500</v>
      </c>
      <c r="E54" s="564">
        <f>'9.3.1. sz. mell EOI'!C55+'9.3.2.sz.mell EOI'!C55</f>
        <v>317500</v>
      </c>
      <c r="F54" s="564">
        <f t="shared" si="0"/>
        <v>0</v>
      </c>
    </row>
    <row r="55" spans="1:6" ht="12" customHeight="1" x14ac:dyDescent="0.2">
      <c r="A55" s="220" t="s">
        <v>105</v>
      </c>
      <c r="B55" s="5" t="s">
        <v>58</v>
      </c>
      <c r="C55" s="652"/>
      <c r="E55" s="564">
        <f>'9.3.1. sz. mell EOI'!C56+'9.3.2.sz.mell EOI'!C56</f>
        <v>0</v>
      </c>
      <c r="F55" s="564">
        <f t="shared" si="0"/>
        <v>0</v>
      </c>
    </row>
    <row r="56" spans="1:6" ht="15" customHeight="1" thickBot="1" x14ac:dyDescent="0.25">
      <c r="A56" s="220" t="s">
        <v>106</v>
      </c>
      <c r="B56" s="5" t="s">
        <v>514</v>
      </c>
      <c r="C56" s="652"/>
      <c r="E56" s="564">
        <f>'9.3.1. sz. mell EOI'!C57+'9.3.2.sz.mell EOI'!C57</f>
        <v>0</v>
      </c>
      <c r="F56" s="564">
        <f t="shared" si="0"/>
        <v>0</v>
      </c>
    </row>
    <row r="57" spans="1:6" ht="13.5" thickBot="1" x14ac:dyDescent="0.25">
      <c r="A57" s="76" t="s">
        <v>21</v>
      </c>
      <c r="B57" s="56" t="s">
        <v>13</v>
      </c>
      <c r="C57" s="657"/>
      <c r="E57" s="564">
        <f>'9.3.1. sz. mell EOI'!C58+'9.3.2.sz.mell EOI'!C58</f>
        <v>0</v>
      </c>
      <c r="F57" s="564">
        <f t="shared" si="0"/>
        <v>0</v>
      </c>
    </row>
    <row r="58" spans="1:6" ht="15" customHeight="1" thickBot="1" x14ac:dyDescent="0.25">
      <c r="A58" s="76" t="s">
        <v>22</v>
      </c>
      <c r="B58" s="99" t="s">
        <v>515</v>
      </c>
      <c r="C58" s="665">
        <f>+C46+C52+C57</f>
        <v>345397518</v>
      </c>
      <c r="E58" s="564">
        <f>'9.3.1. sz. mell EOI'!C59+'9.3.2.sz.mell EOI'!C59</f>
        <v>345397518</v>
      </c>
      <c r="F58" s="564">
        <f t="shared" si="0"/>
        <v>0</v>
      </c>
    </row>
    <row r="59" spans="1:6" ht="14.25" customHeight="1" thickBot="1" x14ac:dyDescent="0.25">
      <c r="C59" s="666"/>
      <c r="E59" s="564">
        <f>'9.3.1. sz. mell EOI'!C60+'9.3.2.sz.mell EOI'!C60</f>
        <v>0</v>
      </c>
      <c r="F59" s="564">
        <f t="shared" si="0"/>
        <v>0</v>
      </c>
    </row>
    <row r="60" spans="1:6" ht="13.5" thickBot="1" x14ac:dyDescent="0.25">
      <c r="A60" s="101" t="s">
        <v>508</v>
      </c>
      <c r="B60" s="102"/>
      <c r="C60" s="667">
        <v>54</v>
      </c>
      <c r="E60" s="564">
        <f>'9.3.1. sz. mell EOI'!C61+'9.3.2.sz.mell EOI'!C61</f>
        <v>54</v>
      </c>
      <c r="F60" s="564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7"/>
  <sheetViews>
    <sheetView topLeftCell="A103" zoomScale="115" zoomScaleNormal="115" zoomScaleSheetLayoutView="100" workbookViewId="0">
      <selection activeCell="B122" sqref="B122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1640625" style="305" customWidth="1"/>
    <col min="4" max="4" width="19.33203125" style="189" hidden="1" customWidth="1"/>
    <col min="5" max="5" width="15.83203125" style="189" hidden="1" customWidth="1"/>
    <col min="6" max="6" width="21.83203125" style="189" hidden="1" customWidth="1"/>
    <col min="7" max="9" width="9.33203125" style="189" customWidth="1"/>
    <col min="10" max="16384" width="9.33203125" style="189"/>
  </cols>
  <sheetData>
    <row r="1" spans="1:6" s="801" customFormat="1" x14ac:dyDescent="0.25">
      <c r="A1" s="1421" t="str">
        <f>CONCATENATE("1.2. melléklet"," ",ALAPADATOK!A7," ",ALAPADATOK!B7," ",ALAPADATOK!C7," ",ALAPADATOK!D7," ",ALAPADATOK!E7," ",ALAPADATOK!F7," ",ALAPADATOK!G7," ",ALAPADATOK!H7)</f>
        <v>1.2. melléklet a 2 / 2021. ( II.15. ) önkormányzati rendelethez</v>
      </c>
      <c r="B1" s="1421"/>
      <c r="C1" s="1421"/>
    </row>
    <row r="2" spans="1:6" s="961" customFormat="1" x14ac:dyDescent="0.25">
      <c r="A2" s="823"/>
      <c r="B2" s="823"/>
      <c r="C2" s="823"/>
    </row>
    <row r="3" spans="1:6" s="801" customFormat="1" x14ac:dyDescent="0.25">
      <c r="A3" s="1419" t="str">
        <f>CONCATENATE(ALAPADATOK!A3)</f>
        <v>Tiszavasvári Város Önkormányzat</v>
      </c>
      <c r="B3" s="1419"/>
      <c r="C3" s="1419"/>
    </row>
    <row r="4" spans="1:6" s="801" customFormat="1" x14ac:dyDescent="0.25">
      <c r="A4" s="1420" t="str">
        <f>CONCATENATE(ALAPADATOK!D7," ÉVI KÖLTSÉGVETÉS")</f>
        <v>2021. ÉVI KÖLTSÉGVETÉS</v>
      </c>
      <c r="B4" s="1420"/>
      <c r="C4" s="1420"/>
    </row>
    <row r="5" spans="1:6" s="801" customFormat="1" x14ac:dyDescent="0.25">
      <c r="A5" s="1420" t="s">
        <v>765</v>
      </c>
      <c r="B5" s="1420"/>
      <c r="C5" s="1420"/>
    </row>
    <row r="6" spans="1:6" s="801" customFormat="1" x14ac:dyDescent="0.25">
      <c r="A6" s="800"/>
      <c r="B6" s="800"/>
      <c r="C6" s="305"/>
    </row>
    <row r="7" spans="1:6" ht="15.95" customHeight="1" x14ac:dyDescent="0.25">
      <c r="A7" s="1423" t="s">
        <v>16</v>
      </c>
      <c r="B7" s="1423"/>
      <c r="C7" s="1423"/>
      <c r="D7" s="959"/>
      <c r="E7" s="959"/>
      <c r="F7" s="959"/>
    </row>
    <row r="8" spans="1:6" ht="15.95" customHeight="1" thickBot="1" x14ac:dyDescent="0.3">
      <c r="A8" s="1422" t="s">
        <v>126</v>
      </c>
      <c r="B8" s="1422"/>
      <c r="C8" s="125" t="s">
        <v>539</v>
      </c>
      <c r="D8" s="959"/>
      <c r="E8" s="959"/>
      <c r="F8" s="959"/>
    </row>
    <row r="9" spans="1:6" ht="38.1" customHeight="1" thickBot="1" x14ac:dyDescent="0.3">
      <c r="A9" s="20" t="s">
        <v>70</v>
      </c>
      <c r="B9" s="21" t="s">
        <v>18</v>
      </c>
      <c r="C9" s="29" t="s">
        <v>851</v>
      </c>
      <c r="D9" s="959" t="s">
        <v>545</v>
      </c>
      <c r="E9" s="959" t="s">
        <v>546</v>
      </c>
      <c r="F9" s="959" t="s">
        <v>547</v>
      </c>
    </row>
    <row r="10" spans="1:6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6" s="191" customFormat="1" ht="12" customHeight="1" thickBot="1" x14ac:dyDescent="0.25">
      <c r="A11" s="17" t="s">
        <v>19</v>
      </c>
      <c r="B11" s="18" t="s">
        <v>192</v>
      </c>
      <c r="C11" s="116">
        <f t="shared" ref="C11:C75" si="0">SUM(D11:F11)</f>
        <v>1274570612</v>
      </c>
      <c r="D11" s="276">
        <f>+D12+D13+D14+D17+D18+D19</f>
        <v>1274570612</v>
      </c>
      <c r="E11" s="116">
        <f>+E12+E13+E14+E17+E18+E19</f>
        <v>0</v>
      </c>
      <c r="F11" s="116">
        <f>+F12+F13+F14+F17+F18+F19</f>
        <v>0</v>
      </c>
    </row>
    <row r="12" spans="1:6" s="191" customFormat="1" ht="12" customHeight="1" x14ac:dyDescent="0.2">
      <c r="A12" s="12" t="s">
        <v>97</v>
      </c>
      <c r="B12" s="192" t="s">
        <v>193</v>
      </c>
      <c r="C12" s="298">
        <f t="shared" si="0"/>
        <v>295696597</v>
      </c>
      <c r="D12" s="1032">
        <v>295696597</v>
      </c>
      <c r="E12" s="230"/>
      <c r="F12" s="230"/>
    </row>
    <row r="13" spans="1:6" s="191" customFormat="1" ht="12" customHeight="1" x14ac:dyDescent="0.2">
      <c r="A13" s="11" t="s">
        <v>98</v>
      </c>
      <c r="B13" s="193" t="s">
        <v>194</v>
      </c>
      <c r="C13" s="299">
        <f t="shared" si="0"/>
        <v>254023920</v>
      </c>
      <c r="D13" s="1030">
        <v>254023920</v>
      </c>
      <c r="E13" s="1029"/>
      <c r="F13" s="1029"/>
    </row>
    <row r="14" spans="1:6" s="191" customFormat="1" ht="12" customHeight="1" x14ac:dyDescent="0.2">
      <c r="A14" s="11" t="s">
        <v>99</v>
      </c>
      <c r="B14" s="193" t="s">
        <v>820</v>
      </c>
      <c r="C14" s="299">
        <f t="shared" si="0"/>
        <v>449582556</v>
      </c>
      <c r="D14" s="1030">
        <f>SUM(D15:D16)</f>
        <v>449582556</v>
      </c>
      <c r="E14" s="1029"/>
      <c r="F14" s="1029"/>
    </row>
    <row r="15" spans="1:6" s="191" customFormat="1" ht="12" customHeight="1" x14ac:dyDescent="0.2">
      <c r="A15" s="11" t="s">
        <v>818</v>
      </c>
      <c r="B15" s="193" t="s">
        <v>821</v>
      </c>
      <c r="C15" s="299">
        <f t="shared" si="0"/>
        <v>323323762</v>
      </c>
      <c r="D15" s="1030">
        <v>323323762</v>
      </c>
      <c r="E15" s="1029"/>
      <c r="F15" s="1029"/>
    </row>
    <row r="16" spans="1:6" s="191" customFormat="1" ht="12" customHeight="1" x14ac:dyDescent="0.2">
      <c r="A16" s="11" t="s">
        <v>819</v>
      </c>
      <c r="B16" s="193" t="s">
        <v>822</v>
      </c>
      <c r="C16" s="299">
        <f t="shared" si="0"/>
        <v>126258794</v>
      </c>
      <c r="D16" s="1029">
        <v>126258794</v>
      </c>
      <c r="E16" s="1029"/>
      <c r="F16" s="1029"/>
    </row>
    <row r="17" spans="1:8" s="191" customFormat="1" ht="12" customHeight="1" x14ac:dyDescent="0.2">
      <c r="A17" s="11" t="s">
        <v>100</v>
      </c>
      <c r="B17" s="193" t="s">
        <v>196</v>
      </c>
      <c r="C17" s="299">
        <f t="shared" si="0"/>
        <v>40888120</v>
      </c>
      <c r="D17" s="1030">
        <v>40888120</v>
      </c>
      <c r="E17" s="1029"/>
      <c r="F17" s="1029"/>
    </row>
    <row r="18" spans="1:8" s="191" customFormat="1" ht="12" customHeight="1" x14ac:dyDescent="0.2">
      <c r="A18" s="11" t="s">
        <v>123</v>
      </c>
      <c r="B18" s="112" t="s">
        <v>437</v>
      </c>
      <c r="C18" s="299">
        <f t="shared" si="0"/>
        <v>234379419</v>
      </c>
      <c r="D18" s="1030">
        <f>234271694+107725</f>
        <v>234379419</v>
      </c>
      <c r="E18" s="1029"/>
      <c r="F18" s="1029"/>
    </row>
    <row r="19" spans="1:8" s="191" customFormat="1" ht="12" customHeight="1" thickBot="1" x14ac:dyDescent="0.25">
      <c r="A19" s="13" t="s">
        <v>101</v>
      </c>
      <c r="B19" s="113" t="s">
        <v>438</v>
      </c>
      <c r="C19" s="303">
        <f t="shared" si="0"/>
        <v>0</v>
      </c>
      <c r="D19" s="105"/>
      <c r="E19" s="117"/>
      <c r="F19" s="117"/>
    </row>
    <row r="20" spans="1:8" s="191" customFormat="1" ht="12" customHeight="1" thickBot="1" x14ac:dyDescent="0.25">
      <c r="A20" s="17" t="s">
        <v>20</v>
      </c>
      <c r="B20" s="111" t="s">
        <v>197</v>
      </c>
      <c r="C20" s="116">
        <f t="shared" si="0"/>
        <v>124208366</v>
      </c>
      <c r="D20" s="276">
        <f>+D21+D22+D23+D24+D25</f>
        <v>124208366</v>
      </c>
      <c r="E20" s="116">
        <f>+E21+E22+E23+E24+E25</f>
        <v>0</v>
      </c>
      <c r="F20" s="116">
        <f>+F21+F22+F23+F24+F25</f>
        <v>0</v>
      </c>
    </row>
    <row r="21" spans="1:8" s="191" customFormat="1" ht="12" customHeight="1" x14ac:dyDescent="0.2">
      <c r="A21" s="12" t="s">
        <v>103</v>
      </c>
      <c r="B21" s="192" t="s">
        <v>198</v>
      </c>
      <c r="C21" s="187">
        <f t="shared" si="0"/>
        <v>0</v>
      </c>
      <c r="D21" s="278"/>
      <c r="E21" s="118"/>
      <c r="F21" s="118"/>
    </row>
    <row r="22" spans="1:8" s="191" customFormat="1" ht="12" customHeight="1" x14ac:dyDescent="0.2">
      <c r="A22" s="11" t="s">
        <v>104</v>
      </c>
      <c r="B22" s="193" t="s">
        <v>199</v>
      </c>
      <c r="C22" s="302">
        <f t="shared" si="0"/>
        <v>0</v>
      </c>
      <c r="D22" s="105"/>
      <c r="E22" s="117"/>
      <c r="F22" s="117"/>
    </row>
    <row r="23" spans="1:8" s="191" customFormat="1" ht="12" customHeight="1" x14ac:dyDescent="0.2">
      <c r="A23" s="11" t="s">
        <v>105</v>
      </c>
      <c r="B23" s="193" t="s">
        <v>367</v>
      </c>
      <c r="C23" s="302">
        <f t="shared" si="0"/>
        <v>0</v>
      </c>
      <c r="D23" s="105"/>
      <c r="E23" s="117"/>
      <c r="F23" s="117"/>
    </row>
    <row r="24" spans="1:8" s="191" customFormat="1" ht="12" customHeight="1" x14ac:dyDescent="0.2">
      <c r="A24" s="11" t="s">
        <v>106</v>
      </c>
      <c r="B24" s="193" t="s">
        <v>368</v>
      </c>
      <c r="C24" s="302">
        <f t="shared" si="0"/>
        <v>0</v>
      </c>
      <c r="D24" s="105"/>
      <c r="E24" s="117"/>
      <c r="F24" s="117"/>
    </row>
    <row r="25" spans="1:8" s="191" customFormat="1" ht="12" customHeight="1" x14ac:dyDescent="0.2">
      <c r="A25" s="11" t="s">
        <v>107</v>
      </c>
      <c r="B25" s="193" t="s">
        <v>200</v>
      </c>
      <c r="C25" s="299">
        <f t="shared" si="0"/>
        <v>124208366</v>
      </c>
      <c r="D25" s="1030">
        <v>124208366</v>
      </c>
      <c r="E25" s="1029"/>
      <c r="F25" s="1029"/>
    </row>
    <row r="26" spans="1:8" s="191" customFormat="1" ht="12" customHeight="1" thickBot="1" x14ac:dyDescent="0.25">
      <c r="A26" s="13" t="s">
        <v>116</v>
      </c>
      <c r="B26" s="113" t="s">
        <v>201</v>
      </c>
      <c r="C26" s="1015">
        <f t="shared" si="0"/>
        <v>48288366</v>
      </c>
      <c r="D26" s="106">
        <f>17520150+30768216</f>
        <v>48288366</v>
      </c>
      <c r="E26" s="181"/>
      <c r="F26" s="181"/>
    </row>
    <row r="27" spans="1:8" s="191" customFormat="1" ht="12" customHeight="1" thickBot="1" x14ac:dyDescent="0.25">
      <c r="A27" s="17" t="s">
        <v>21</v>
      </c>
      <c r="B27" s="18" t="s">
        <v>202</v>
      </c>
      <c r="C27" s="116">
        <f t="shared" si="0"/>
        <v>27379073</v>
      </c>
      <c r="D27" s="276">
        <f>+D28+D29+D30+D31+D32</f>
        <v>27379073</v>
      </c>
      <c r="E27" s="116">
        <f>+E28+E29+E30+E31+E32</f>
        <v>0</v>
      </c>
      <c r="F27" s="116">
        <f>+F28+F29+F30+F31+F32</f>
        <v>0</v>
      </c>
    </row>
    <row r="28" spans="1:8" s="191" customFormat="1" ht="12" customHeight="1" x14ac:dyDescent="0.2">
      <c r="A28" s="12" t="s">
        <v>86</v>
      </c>
      <c r="B28" s="192" t="s">
        <v>203</v>
      </c>
      <c r="C28" s="298">
        <f t="shared" si="0"/>
        <v>0</v>
      </c>
      <c r="D28" s="1032"/>
      <c r="E28" s="577"/>
      <c r="F28" s="577"/>
    </row>
    <row r="29" spans="1:8" s="191" customFormat="1" ht="12" customHeight="1" x14ac:dyDescent="0.2">
      <c r="A29" s="11" t="s">
        <v>87</v>
      </c>
      <c r="B29" s="193" t="s">
        <v>204</v>
      </c>
      <c r="C29" s="299">
        <f t="shared" si="0"/>
        <v>0</v>
      </c>
      <c r="D29" s="1030"/>
      <c r="E29" s="1029"/>
      <c r="F29" s="1029"/>
    </row>
    <row r="30" spans="1:8" s="191" customFormat="1" ht="12" customHeight="1" x14ac:dyDescent="0.2">
      <c r="A30" s="11" t="s">
        <v>88</v>
      </c>
      <c r="B30" s="193" t="s">
        <v>369</v>
      </c>
      <c r="C30" s="299">
        <f t="shared" si="0"/>
        <v>0</v>
      </c>
      <c r="D30" s="1030"/>
      <c r="E30" s="1029"/>
      <c r="F30" s="1029"/>
      <c r="H30" s="1124"/>
    </row>
    <row r="31" spans="1:8" s="191" customFormat="1" ht="12" customHeight="1" x14ac:dyDescent="0.2">
      <c r="A31" s="11" t="s">
        <v>89</v>
      </c>
      <c r="B31" s="193" t="s">
        <v>370</v>
      </c>
      <c r="C31" s="299">
        <f t="shared" si="0"/>
        <v>0</v>
      </c>
      <c r="D31" s="1030"/>
      <c r="E31" s="1029"/>
      <c r="F31" s="1029"/>
    </row>
    <row r="32" spans="1:8" s="191" customFormat="1" ht="12" customHeight="1" x14ac:dyDescent="0.2">
      <c r="A32" s="11" t="s">
        <v>134</v>
      </c>
      <c r="B32" s="193" t="s">
        <v>205</v>
      </c>
      <c r="C32" s="299">
        <f t="shared" si="0"/>
        <v>27379073</v>
      </c>
      <c r="D32" s="1030">
        <v>27379073</v>
      </c>
      <c r="E32" s="1029"/>
      <c r="F32" s="1029"/>
    </row>
    <row r="33" spans="1:6" s="191" customFormat="1" ht="12" customHeight="1" thickBot="1" x14ac:dyDescent="0.25">
      <c r="A33" s="13" t="s">
        <v>135</v>
      </c>
      <c r="B33" s="194" t="s">
        <v>206</v>
      </c>
      <c r="C33" s="1015">
        <f t="shared" si="0"/>
        <v>27379073</v>
      </c>
      <c r="D33" s="1031">
        <f>21590900+1499571+3482179+806423</f>
        <v>27379073</v>
      </c>
      <c r="E33" s="181"/>
      <c r="F33" s="181"/>
    </row>
    <row r="34" spans="1:6" s="191" customFormat="1" ht="12" customHeight="1" thickBot="1" x14ac:dyDescent="0.25">
      <c r="A34" s="17" t="s">
        <v>136</v>
      </c>
      <c r="B34" s="18" t="s">
        <v>207</v>
      </c>
      <c r="C34" s="116">
        <f t="shared" si="0"/>
        <v>398600000</v>
      </c>
      <c r="D34" s="279">
        <f>+D35+D39+D40</f>
        <v>398600000</v>
      </c>
      <c r="E34" s="279">
        <f t="shared" ref="E34:F34" si="1">+E35+E39+E40</f>
        <v>0</v>
      </c>
      <c r="F34" s="279">
        <f t="shared" si="1"/>
        <v>0</v>
      </c>
    </row>
    <row r="35" spans="1:6" s="191" customFormat="1" ht="12" customHeight="1" x14ac:dyDescent="0.2">
      <c r="A35" s="12" t="s">
        <v>208</v>
      </c>
      <c r="B35" s="192" t="s">
        <v>626</v>
      </c>
      <c r="C35" s="187">
        <f t="shared" si="0"/>
        <v>385080000</v>
      </c>
      <c r="D35" s="293">
        <f>SUM(D36:D37)</f>
        <v>385080000</v>
      </c>
      <c r="E35" s="293">
        <f>SUM(E36:E37)</f>
        <v>0</v>
      </c>
      <c r="F35" s="293">
        <f>SUM(F36:F37)</f>
        <v>0</v>
      </c>
    </row>
    <row r="36" spans="1:6" s="191" customFormat="1" ht="12" customHeight="1" x14ac:dyDescent="0.2">
      <c r="A36" s="11" t="s">
        <v>209</v>
      </c>
      <c r="B36" s="193" t="s">
        <v>214</v>
      </c>
      <c r="C36" s="299">
        <f t="shared" si="0"/>
        <v>88280000</v>
      </c>
      <c r="D36" s="105">
        <f>82000000+6280000</f>
        <v>88280000</v>
      </c>
      <c r="E36" s="117"/>
      <c r="F36" s="117"/>
    </row>
    <row r="37" spans="1:6" s="191" customFormat="1" ht="12" customHeight="1" x14ac:dyDescent="0.2">
      <c r="A37" s="11" t="s">
        <v>210</v>
      </c>
      <c r="B37" s="250" t="s">
        <v>625</v>
      </c>
      <c r="C37" s="299">
        <f t="shared" si="0"/>
        <v>296800000</v>
      </c>
      <c r="D37" s="105">
        <f>296800000</f>
        <v>296800000</v>
      </c>
      <c r="E37" s="117"/>
      <c r="F37" s="117"/>
    </row>
    <row r="38" spans="1:6" s="191" customFormat="1" ht="12" customHeight="1" x14ac:dyDescent="0.2">
      <c r="A38" s="11" t="s">
        <v>211</v>
      </c>
      <c r="B38" s="193" t="s">
        <v>523</v>
      </c>
      <c r="C38" s="299">
        <f t="shared" si="0"/>
        <v>0</v>
      </c>
      <c r="D38" s="1030"/>
      <c r="E38" s="1029"/>
      <c r="F38" s="1029"/>
    </row>
    <row r="39" spans="1:6" s="191" customFormat="1" ht="12" customHeight="1" x14ac:dyDescent="0.2">
      <c r="A39" s="11" t="s">
        <v>213</v>
      </c>
      <c r="B39" s="193" t="s">
        <v>216</v>
      </c>
      <c r="C39" s="299">
        <f t="shared" si="0"/>
        <v>0</v>
      </c>
      <c r="D39" s="105"/>
      <c r="E39" s="117"/>
      <c r="F39" s="117"/>
    </row>
    <row r="40" spans="1:6" s="191" customFormat="1" ht="12" customHeight="1" thickBot="1" x14ac:dyDescent="0.25">
      <c r="A40" s="13" t="s">
        <v>525</v>
      </c>
      <c r="B40" s="194" t="s">
        <v>217</v>
      </c>
      <c r="C40" s="303">
        <f t="shared" si="0"/>
        <v>13520000</v>
      </c>
      <c r="D40" s="1031">
        <f>7000000+6520000</f>
        <v>13520000</v>
      </c>
      <c r="E40" s="181"/>
      <c r="F40" s="181"/>
    </row>
    <row r="41" spans="1:6" s="191" customFormat="1" ht="12" customHeight="1" thickBot="1" x14ac:dyDescent="0.25">
      <c r="A41" s="17" t="s">
        <v>23</v>
      </c>
      <c r="B41" s="18" t="s">
        <v>439</v>
      </c>
      <c r="C41" s="116">
        <f t="shared" si="0"/>
        <v>149828889</v>
      </c>
      <c r="D41" s="276">
        <f>SUM(D42:D52)</f>
        <v>39795765</v>
      </c>
      <c r="E41" s="116">
        <f>SUM(E42:E52)</f>
        <v>9988614</v>
      </c>
      <c r="F41" s="116">
        <f>SUM(F42:F52)</f>
        <v>100044510</v>
      </c>
    </row>
    <row r="42" spans="1:6" s="191" customFormat="1" ht="12" customHeight="1" x14ac:dyDescent="0.2">
      <c r="A42" s="12" t="s">
        <v>90</v>
      </c>
      <c r="B42" s="192" t="s">
        <v>220</v>
      </c>
      <c r="C42" s="187">
        <f t="shared" si="0"/>
        <v>0</v>
      </c>
      <c r="D42" s="1032"/>
      <c r="E42" s="230"/>
      <c r="F42" s="230"/>
    </row>
    <row r="43" spans="1:6" s="191" customFormat="1" ht="12" customHeight="1" x14ac:dyDescent="0.2">
      <c r="A43" s="11" t="s">
        <v>91</v>
      </c>
      <c r="B43" s="193" t="s">
        <v>221</v>
      </c>
      <c r="C43" s="299">
        <f t="shared" si="0"/>
        <v>66699019</v>
      </c>
      <c r="D43" s="1030">
        <v>15786984</v>
      </c>
      <c r="E43" s="1029">
        <v>5076402</v>
      </c>
      <c r="F43" s="230">
        <f>25515233+10387400+600000+9333000</f>
        <v>45835633</v>
      </c>
    </row>
    <row r="44" spans="1:6" s="191" customFormat="1" ht="12" customHeight="1" x14ac:dyDescent="0.2">
      <c r="A44" s="11" t="s">
        <v>92</v>
      </c>
      <c r="B44" s="193" t="s">
        <v>222</v>
      </c>
      <c r="C44" s="299">
        <f t="shared" si="0"/>
        <v>18440392</v>
      </c>
      <c r="D44" s="1030">
        <v>9686744</v>
      </c>
      <c r="E44" s="1029">
        <v>2788648</v>
      </c>
      <c r="F44" s="230">
        <f>1270000+5000+4600000+90000</f>
        <v>5965000</v>
      </c>
    </row>
    <row r="45" spans="1:6" s="191" customFormat="1" ht="12" customHeight="1" x14ac:dyDescent="0.2">
      <c r="A45" s="11" t="s">
        <v>138</v>
      </c>
      <c r="B45" s="193" t="s">
        <v>223</v>
      </c>
      <c r="C45" s="299">
        <f t="shared" si="0"/>
        <v>3743473</v>
      </c>
      <c r="D45" s="1030">
        <v>3743473</v>
      </c>
      <c r="E45" s="1029"/>
      <c r="F45" s="230"/>
    </row>
    <row r="46" spans="1:6" s="191" customFormat="1" ht="12" customHeight="1" x14ac:dyDescent="0.2">
      <c r="A46" s="11" t="s">
        <v>139</v>
      </c>
      <c r="B46" s="193" t="s">
        <v>224</v>
      </c>
      <c r="C46" s="299">
        <f t="shared" si="0"/>
        <v>25869784</v>
      </c>
      <c r="D46" s="1030"/>
      <c r="E46" s="1029"/>
      <c r="F46" s="230">
        <f>1175672+23682732+1011380</f>
        <v>25869784</v>
      </c>
    </row>
    <row r="47" spans="1:6" s="191" customFormat="1" ht="12" customHeight="1" x14ac:dyDescent="0.2">
      <c r="A47" s="11" t="s">
        <v>140</v>
      </c>
      <c r="B47" s="193" t="s">
        <v>225</v>
      </c>
      <c r="C47" s="299">
        <f t="shared" si="0"/>
        <v>22218599</v>
      </c>
      <c r="D47" s="1030">
        <v>8159787</v>
      </c>
      <c r="E47" s="1029">
        <v>2123564</v>
      </c>
      <c r="F47" s="230">
        <f>6457815+1280450+1677073+2519910</f>
        <v>11935248</v>
      </c>
    </row>
    <row r="48" spans="1:6" s="191" customFormat="1" ht="12" customHeight="1" x14ac:dyDescent="0.2">
      <c r="A48" s="11" t="s">
        <v>141</v>
      </c>
      <c r="B48" s="193" t="s">
        <v>226</v>
      </c>
      <c r="C48" s="302">
        <f t="shared" si="0"/>
        <v>10435845</v>
      </c>
      <c r="D48" s="1030"/>
      <c r="E48" s="1029"/>
      <c r="F48" s="230">
        <f>9450092+680000+305753</f>
        <v>10435845</v>
      </c>
    </row>
    <row r="49" spans="1:6" s="191" customFormat="1" ht="12" customHeight="1" x14ac:dyDescent="0.2">
      <c r="A49" s="11" t="s">
        <v>142</v>
      </c>
      <c r="B49" s="193" t="s">
        <v>529</v>
      </c>
      <c r="C49" s="302">
        <f t="shared" si="0"/>
        <v>0</v>
      </c>
      <c r="D49" s="1030"/>
      <c r="E49" s="1029"/>
      <c r="F49" s="230"/>
    </row>
    <row r="50" spans="1:6" s="191" customFormat="1" ht="12" customHeight="1" x14ac:dyDescent="0.2">
      <c r="A50" s="11" t="s">
        <v>218</v>
      </c>
      <c r="B50" s="193" t="s">
        <v>228</v>
      </c>
      <c r="C50" s="302">
        <f t="shared" si="0"/>
        <v>0</v>
      </c>
      <c r="D50" s="1030"/>
      <c r="E50" s="1029"/>
      <c r="F50" s="230"/>
    </row>
    <row r="51" spans="1:6" s="191" customFormat="1" ht="12" customHeight="1" x14ac:dyDescent="0.2">
      <c r="A51" s="13" t="s">
        <v>219</v>
      </c>
      <c r="B51" s="194" t="s">
        <v>440</v>
      </c>
      <c r="C51" s="302">
        <f t="shared" si="0"/>
        <v>1000000</v>
      </c>
      <c r="D51" s="1031">
        <v>1000000</v>
      </c>
      <c r="E51" s="181"/>
      <c r="F51" s="230"/>
    </row>
    <row r="52" spans="1:6" s="191" customFormat="1" ht="12" customHeight="1" thickBot="1" x14ac:dyDescent="0.25">
      <c r="A52" s="13" t="s">
        <v>441</v>
      </c>
      <c r="B52" s="113" t="s">
        <v>229</v>
      </c>
      <c r="C52" s="1015">
        <f t="shared" si="0"/>
        <v>1421777</v>
      </c>
      <c r="D52" s="1031">
        <f>1414062+4715</f>
        <v>1418777</v>
      </c>
      <c r="E52" s="181"/>
      <c r="F52" s="230">
        <v>3000</v>
      </c>
    </row>
    <row r="53" spans="1:6" s="191" customFormat="1" ht="12" customHeight="1" thickBot="1" x14ac:dyDescent="0.25">
      <c r="A53" s="17" t="s">
        <v>24</v>
      </c>
      <c r="B53" s="18" t="s">
        <v>230</v>
      </c>
      <c r="C53" s="116">
        <f t="shared" si="0"/>
        <v>63000000</v>
      </c>
      <c r="D53" s="276">
        <f>SUM(D54:D58)</f>
        <v>63000000</v>
      </c>
      <c r="E53" s="116">
        <f>SUM(E54:E58)</f>
        <v>0</v>
      </c>
      <c r="F53" s="116">
        <f>SUM(F54:F58)</f>
        <v>0</v>
      </c>
    </row>
    <row r="54" spans="1:6" s="191" customFormat="1" ht="12" customHeight="1" x14ac:dyDescent="0.2">
      <c r="A54" s="12" t="s">
        <v>93</v>
      </c>
      <c r="B54" s="192" t="s">
        <v>234</v>
      </c>
      <c r="C54" s="187">
        <f t="shared" si="0"/>
        <v>0</v>
      </c>
      <c r="D54" s="1032"/>
      <c r="E54" s="230"/>
      <c r="F54" s="230"/>
    </row>
    <row r="55" spans="1:6" s="191" customFormat="1" ht="12" customHeight="1" x14ac:dyDescent="0.2">
      <c r="A55" s="11" t="s">
        <v>94</v>
      </c>
      <c r="B55" s="193" t="s">
        <v>235</v>
      </c>
      <c r="C55" s="302">
        <f>SUM(D55:F55)</f>
        <v>63000000</v>
      </c>
      <c r="D55" s="1030">
        <v>63000000</v>
      </c>
      <c r="E55" s="1029"/>
      <c r="F55" s="1029"/>
    </row>
    <row r="56" spans="1:6" s="191" customFormat="1" ht="12" customHeight="1" x14ac:dyDescent="0.2">
      <c r="A56" s="11" t="s">
        <v>231</v>
      </c>
      <c r="B56" s="193" t="s">
        <v>236</v>
      </c>
      <c r="C56" s="302">
        <f t="shared" si="0"/>
        <v>0</v>
      </c>
      <c r="D56" s="1030"/>
      <c r="E56" s="1029"/>
      <c r="F56" s="1029"/>
    </row>
    <row r="57" spans="1:6" s="191" customFormat="1" ht="12" customHeight="1" x14ac:dyDescent="0.2">
      <c r="A57" s="11" t="s">
        <v>232</v>
      </c>
      <c r="B57" s="193" t="s">
        <v>237</v>
      </c>
      <c r="C57" s="302">
        <f t="shared" si="0"/>
        <v>0</v>
      </c>
      <c r="D57" s="1030"/>
      <c r="E57" s="1029"/>
      <c r="F57" s="1029"/>
    </row>
    <row r="58" spans="1:6" s="191" customFormat="1" ht="12" customHeight="1" thickBot="1" x14ac:dyDescent="0.25">
      <c r="A58" s="13" t="s">
        <v>233</v>
      </c>
      <c r="B58" s="113" t="s">
        <v>238</v>
      </c>
      <c r="C58" s="303">
        <f t="shared" si="0"/>
        <v>0</v>
      </c>
      <c r="D58" s="1031"/>
      <c r="E58" s="181"/>
      <c r="F58" s="181"/>
    </row>
    <row r="59" spans="1:6" s="191" customFormat="1" ht="12" customHeight="1" thickBot="1" x14ac:dyDescent="0.25">
      <c r="A59" s="17" t="s">
        <v>143</v>
      </c>
      <c r="B59" s="18" t="s">
        <v>239</v>
      </c>
      <c r="C59" s="116">
        <f t="shared" si="0"/>
        <v>1000000</v>
      </c>
      <c r="D59" s="276">
        <f>SUM(D60:D62)</f>
        <v>1000000</v>
      </c>
      <c r="E59" s="116">
        <f>SUM(E60:E62)</f>
        <v>0</v>
      </c>
      <c r="F59" s="116">
        <f>SUM(F60:F62)</f>
        <v>0</v>
      </c>
    </row>
    <row r="60" spans="1:6" s="191" customFormat="1" ht="12" customHeight="1" x14ac:dyDescent="0.2">
      <c r="A60" s="12" t="s">
        <v>95</v>
      </c>
      <c r="B60" s="192" t="s">
        <v>240</v>
      </c>
      <c r="C60" s="187">
        <f t="shared" si="0"/>
        <v>0</v>
      </c>
      <c r="D60" s="278"/>
      <c r="E60" s="118"/>
      <c r="F60" s="118"/>
    </row>
    <row r="61" spans="1:6" s="191" customFormat="1" ht="12" customHeight="1" x14ac:dyDescent="0.2">
      <c r="A61" s="11" t="s">
        <v>96</v>
      </c>
      <c r="B61" s="193" t="s">
        <v>371</v>
      </c>
      <c r="C61" s="302">
        <f t="shared" si="0"/>
        <v>0</v>
      </c>
      <c r="D61" s="1030"/>
      <c r="E61" s="1029"/>
      <c r="F61" s="1029"/>
    </row>
    <row r="62" spans="1:6" s="191" customFormat="1" ht="12" customHeight="1" x14ac:dyDescent="0.2">
      <c r="A62" s="11" t="s">
        <v>243</v>
      </c>
      <c r="B62" s="193" t="s">
        <v>241</v>
      </c>
      <c r="C62" s="299">
        <f t="shared" si="0"/>
        <v>1000000</v>
      </c>
      <c r="D62" s="1030">
        <v>1000000</v>
      </c>
      <c r="E62" s="1029"/>
      <c r="F62" s="1029"/>
    </row>
    <row r="63" spans="1:6" s="191" customFormat="1" ht="12" customHeight="1" thickBot="1" x14ac:dyDescent="0.25">
      <c r="A63" s="13" t="s">
        <v>244</v>
      </c>
      <c r="B63" s="113" t="s">
        <v>242</v>
      </c>
      <c r="C63" s="303">
        <f t="shared" si="0"/>
        <v>0</v>
      </c>
      <c r="D63" s="106"/>
      <c r="E63" s="119"/>
      <c r="F63" s="119"/>
    </row>
    <row r="64" spans="1:6" s="191" customFormat="1" ht="12" customHeight="1" thickBot="1" x14ac:dyDescent="0.25">
      <c r="A64" s="17" t="s">
        <v>26</v>
      </c>
      <c r="B64" s="111" t="s">
        <v>245</v>
      </c>
      <c r="C64" s="304">
        <f t="shared" si="0"/>
        <v>0</v>
      </c>
      <c r="D64" s="276">
        <f>SUM(D65:D67)</f>
        <v>0</v>
      </c>
      <c r="E64" s="116">
        <f>SUM(E65:E67)</f>
        <v>0</v>
      </c>
      <c r="F64" s="116">
        <f>SUM(F65:F67)</f>
        <v>0</v>
      </c>
    </row>
    <row r="65" spans="1:6" s="191" customFormat="1" ht="12" customHeight="1" x14ac:dyDescent="0.2">
      <c r="A65" s="12" t="s">
        <v>144</v>
      </c>
      <c r="B65" s="192" t="s">
        <v>247</v>
      </c>
      <c r="C65" s="187">
        <f t="shared" si="0"/>
        <v>0</v>
      </c>
      <c r="D65" s="1030"/>
      <c r="E65" s="1029"/>
      <c r="F65" s="1029"/>
    </row>
    <row r="66" spans="1:6" s="191" customFormat="1" ht="12" customHeight="1" x14ac:dyDescent="0.2">
      <c r="A66" s="11" t="s">
        <v>145</v>
      </c>
      <c r="B66" s="193" t="s">
        <v>372</v>
      </c>
      <c r="C66" s="302">
        <f t="shared" si="0"/>
        <v>0</v>
      </c>
      <c r="D66" s="1030"/>
      <c r="E66" s="1029"/>
      <c r="F66" s="1029"/>
    </row>
    <row r="67" spans="1:6" s="191" customFormat="1" ht="12" customHeight="1" x14ac:dyDescent="0.2">
      <c r="A67" s="11" t="s">
        <v>171</v>
      </c>
      <c r="B67" s="193" t="s">
        <v>248</v>
      </c>
      <c r="C67" s="302">
        <f t="shared" si="0"/>
        <v>0</v>
      </c>
      <c r="D67" s="1030"/>
      <c r="E67" s="1029"/>
      <c r="F67" s="1029"/>
    </row>
    <row r="68" spans="1:6" s="191" customFormat="1" ht="12" customHeight="1" thickBot="1" x14ac:dyDescent="0.25">
      <c r="A68" s="13" t="s">
        <v>246</v>
      </c>
      <c r="B68" s="113" t="s">
        <v>249</v>
      </c>
      <c r="C68" s="303">
        <f t="shared" si="0"/>
        <v>0</v>
      </c>
      <c r="D68" s="1030"/>
      <c r="E68" s="1029"/>
      <c r="F68" s="1029"/>
    </row>
    <row r="69" spans="1:6" s="191" customFormat="1" ht="12" customHeight="1" thickBot="1" x14ac:dyDescent="0.25">
      <c r="A69" s="251" t="s">
        <v>442</v>
      </c>
      <c r="B69" s="18" t="s">
        <v>250</v>
      </c>
      <c r="C69" s="116">
        <f t="shared" si="0"/>
        <v>2038586940</v>
      </c>
      <c r="D69" s="279">
        <f>+D11+D20+D27+D34+D41+D53+D59+D64</f>
        <v>1928553816</v>
      </c>
      <c r="E69" s="121">
        <f>+E11+E20+E27+E34+E41+E53+E59+E64</f>
        <v>9988614</v>
      </c>
      <c r="F69" s="121">
        <f>+F11+F20+F27+F34+F41+F53+F59+F64</f>
        <v>100044510</v>
      </c>
    </row>
    <row r="70" spans="1:6" s="191" customFormat="1" ht="12" customHeight="1" thickBot="1" x14ac:dyDescent="0.25">
      <c r="A70" s="252" t="s">
        <v>251</v>
      </c>
      <c r="B70" s="111" t="s">
        <v>252</v>
      </c>
      <c r="C70" s="304">
        <f t="shared" si="0"/>
        <v>868562529</v>
      </c>
      <c r="D70" s="276">
        <f>SUM(D71:D73)</f>
        <v>868562529</v>
      </c>
      <c r="E70" s="116">
        <f>SUM(E71:E73)</f>
        <v>0</v>
      </c>
      <c r="F70" s="116">
        <f>SUM(F71:F73)</f>
        <v>0</v>
      </c>
    </row>
    <row r="71" spans="1:6" s="191" customFormat="1" ht="12" customHeight="1" x14ac:dyDescent="0.2">
      <c r="A71" s="12" t="s">
        <v>283</v>
      </c>
      <c r="B71" s="192" t="s">
        <v>253</v>
      </c>
      <c r="C71" s="298">
        <f t="shared" si="0"/>
        <v>18562529</v>
      </c>
      <c r="D71" s="1030">
        <f>11503705+7058824</f>
        <v>18562529</v>
      </c>
      <c r="E71" s="1029"/>
      <c r="F71" s="1029"/>
    </row>
    <row r="72" spans="1:6" s="191" customFormat="1" ht="12" customHeight="1" x14ac:dyDescent="0.2">
      <c r="A72" s="11" t="s">
        <v>292</v>
      </c>
      <c r="B72" s="193" t="s">
        <v>254</v>
      </c>
      <c r="C72" s="299">
        <f t="shared" si="0"/>
        <v>850000000</v>
      </c>
      <c r="D72" s="1030">
        <v>850000000</v>
      </c>
      <c r="E72" s="1029"/>
      <c r="F72" s="1029"/>
    </row>
    <row r="73" spans="1:6" s="191" customFormat="1" ht="12" customHeight="1" thickBot="1" x14ac:dyDescent="0.25">
      <c r="A73" s="13" t="s">
        <v>293</v>
      </c>
      <c r="B73" s="253" t="s">
        <v>443</v>
      </c>
      <c r="C73" s="303">
        <f t="shared" si="0"/>
        <v>0</v>
      </c>
      <c r="D73" s="1030"/>
      <c r="E73" s="1029"/>
      <c r="F73" s="1029"/>
    </row>
    <row r="74" spans="1:6" s="191" customFormat="1" ht="12" customHeight="1" thickBot="1" x14ac:dyDescent="0.25">
      <c r="A74" s="252" t="s">
        <v>256</v>
      </c>
      <c r="B74" s="111" t="s">
        <v>257</v>
      </c>
      <c r="C74" s="304">
        <f t="shared" si="0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</row>
    <row r="75" spans="1:6" s="191" customFormat="1" ht="12" customHeight="1" x14ac:dyDescent="0.2">
      <c r="A75" s="12" t="s">
        <v>124</v>
      </c>
      <c r="B75" s="192" t="s">
        <v>258</v>
      </c>
      <c r="C75" s="187">
        <f t="shared" si="0"/>
        <v>0</v>
      </c>
      <c r="D75" s="1030"/>
      <c r="E75" s="1029"/>
      <c r="F75" s="1029"/>
    </row>
    <row r="76" spans="1:6" s="191" customFormat="1" ht="12" customHeight="1" x14ac:dyDescent="0.2">
      <c r="A76" s="11" t="s">
        <v>125</v>
      </c>
      <c r="B76" s="193" t="s">
        <v>863</v>
      </c>
      <c r="C76" s="302">
        <f t="shared" ref="C76:C94" si="2">SUM(D76:F76)</f>
        <v>0</v>
      </c>
      <c r="D76" s="1030"/>
      <c r="E76" s="1029"/>
      <c r="F76" s="1029"/>
    </row>
    <row r="77" spans="1:6" s="191" customFormat="1" ht="12" customHeight="1" x14ac:dyDescent="0.2">
      <c r="A77" s="11" t="s">
        <v>284</v>
      </c>
      <c r="B77" s="193" t="s">
        <v>260</v>
      </c>
      <c r="C77" s="302">
        <f t="shared" si="2"/>
        <v>0</v>
      </c>
      <c r="D77" s="1030"/>
      <c r="E77" s="1029"/>
      <c r="F77" s="1029"/>
    </row>
    <row r="78" spans="1:6" s="191" customFormat="1" ht="12" customHeight="1" thickBot="1" x14ac:dyDescent="0.25">
      <c r="A78" s="13" t="s">
        <v>285</v>
      </c>
      <c r="B78" s="113" t="s">
        <v>864</v>
      </c>
      <c r="C78" s="303">
        <f t="shared" si="2"/>
        <v>0</v>
      </c>
      <c r="D78" s="1030"/>
      <c r="E78" s="1029"/>
      <c r="F78" s="1029"/>
    </row>
    <row r="79" spans="1:6" s="191" customFormat="1" ht="12" customHeight="1" thickBot="1" x14ac:dyDescent="0.25">
      <c r="A79" s="252" t="s">
        <v>262</v>
      </c>
      <c r="B79" s="111" t="s">
        <v>263</v>
      </c>
      <c r="C79" s="116">
        <f t="shared" si="2"/>
        <v>854236197</v>
      </c>
      <c r="D79" s="276">
        <f>SUM(D80:D81)</f>
        <v>847491815</v>
      </c>
      <c r="E79" s="116">
        <f>SUM(E80:E81)</f>
        <v>216699</v>
      </c>
      <c r="F79" s="116">
        <f>SUM(F80:F81)</f>
        <v>6527683</v>
      </c>
    </row>
    <row r="80" spans="1:6" s="191" customFormat="1" ht="12" customHeight="1" x14ac:dyDescent="0.2">
      <c r="A80" s="12" t="s">
        <v>286</v>
      </c>
      <c r="B80" s="192" t="s">
        <v>264</v>
      </c>
      <c r="C80" s="298">
        <f t="shared" si="2"/>
        <v>854236197</v>
      </c>
      <c r="D80" s="1030">
        <v>847491815</v>
      </c>
      <c r="E80" s="1029">
        <v>216699</v>
      </c>
      <c r="F80" s="1029">
        <f>284491+913769+284096+1261346+3783981</f>
        <v>6527683</v>
      </c>
    </row>
    <row r="81" spans="1:6" s="191" customFormat="1" ht="12" customHeight="1" thickBot="1" x14ac:dyDescent="0.25">
      <c r="A81" s="13" t="s">
        <v>287</v>
      </c>
      <c r="B81" s="113" t="s">
        <v>265</v>
      </c>
      <c r="C81" s="303">
        <f t="shared" si="2"/>
        <v>0</v>
      </c>
      <c r="D81" s="1030"/>
      <c r="E81" s="1029"/>
      <c r="F81" s="1029"/>
    </row>
    <row r="82" spans="1:6" s="191" customFormat="1" ht="12" customHeight="1" thickBot="1" x14ac:dyDescent="0.25">
      <c r="A82" s="252" t="s">
        <v>266</v>
      </c>
      <c r="B82" s="111" t="s">
        <v>267</v>
      </c>
      <c r="C82" s="304">
        <f t="shared" si="2"/>
        <v>48966750</v>
      </c>
      <c r="D82" s="276">
        <f>SUM(D83:D85)</f>
        <v>48966750</v>
      </c>
      <c r="E82" s="116">
        <f>SUM(E83:E85)</f>
        <v>0</v>
      </c>
      <c r="F82" s="116">
        <f>SUM(F83:F85)</f>
        <v>0</v>
      </c>
    </row>
    <row r="83" spans="1:6" s="191" customFormat="1" ht="12" customHeight="1" x14ac:dyDescent="0.2">
      <c r="A83" s="12" t="s">
        <v>288</v>
      </c>
      <c r="B83" s="192" t="s">
        <v>268</v>
      </c>
      <c r="C83" s="298">
        <f t="shared" si="2"/>
        <v>48966750</v>
      </c>
      <c r="D83" s="1030">
        <v>48966750</v>
      </c>
      <c r="E83" s="1029"/>
      <c r="F83" s="1029"/>
    </row>
    <row r="84" spans="1:6" s="191" customFormat="1" ht="12" customHeight="1" x14ac:dyDescent="0.2">
      <c r="A84" s="11" t="s">
        <v>289</v>
      </c>
      <c r="B84" s="193" t="s">
        <v>269</v>
      </c>
      <c r="C84" s="302">
        <f t="shared" si="2"/>
        <v>0</v>
      </c>
      <c r="D84" s="1030"/>
      <c r="E84" s="1029"/>
      <c r="F84" s="1029"/>
    </row>
    <row r="85" spans="1:6" s="191" customFormat="1" ht="12" customHeight="1" thickBot="1" x14ac:dyDescent="0.25">
      <c r="A85" s="13" t="s">
        <v>290</v>
      </c>
      <c r="B85" s="113" t="s">
        <v>865</v>
      </c>
      <c r="C85" s="303">
        <f t="shared" si="2"/>
        <v>0</v>
      </c>
      <c r="D85" s="1030"/>
      <c r="E85" s="1029"/>
      <c r="F85" s="1029"/>
    </row>
    <row r="86" spans="1:6" s="191" customFormat="1" ht="12" customHeight="1" thickBot="1" x14ac:dyDescent="0.25">
      <c r="A86" s="252" t="s">
        <v>271</v>
      </c>
      <c r="B86" s="111" t="s">
        <v>291</v>
      </c>
      <c r="C86" s="304">
        <f t="shared" si="2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</row>
    <row r="87" spans="1:6" s="191" customFormat="1" ht="12" customHeight="1" x14ac:dyDescent="0.2">
      <c r="A87" s="196" t="s">
        <v>272</v>
      </c>
      <c r="B87" s="192" t="s">
        <v>273</v>
      </c>
      <c r="C87" s="187">
        <f t="shared" si="2"/>
        <v>0</v>
      </c>
      <c r="D87" s="1030"/>
      <c r="E87" s="1029"/>
      <c r="F87" s="1029"/>
    </row>
    <row r="88" spans="1:6" s="191" customFormat="1" ht="12" customHeight="1" x14ac:dyDescent="0.2">
      <c r="A88" s="197" t="s">
        <v>274</v>
      </c>
      <c r="B88" s="193" t="s">
        <v>275</v>
      </c>
      <c r="C88" s="302">
        <f t="shared" si="2"/>
        <v>0</v>
      </c>
      <c r="D88" s="1030"/>
      <c r="E88" s="1029"/>
      <c r="F88" s="1029"/>
    </row>
    <row r="89" spans="1:6" s="191" customFormat="1" ht="12" customHeight="1" x14ac:dyDescent="0.2">
      <c r="A89" s="197" t="s">
        <v>276</v>
      </c>
      <c r="B89" s="193" t="s">
        <v>277</v>
      </c>
      <c r="C89" s="302">
        <f t="shared" si="2"/>
        <v>0</v>
      </c>
      <c r="D89" s="1030"/>
      <c r="E89" s="1029"/>
      <c r="F89" s="1029"/>
    </row>
    <row r="90" spans="1:6" s="191" customFormat="1" ht="12" customHeight="1" thickBot="1" x14ac:dyDescent="0.25">
      <c r="A90" s="198" t="s">
        <v>278</v>
      </c>
      <c r="B90" s="113" t="s">
        <v>279</v>
      </c>
      <c r="C90" s="303">
        <f t="shared" si="2"/>
        <v>0</v>
      </c>
      <c r="D90" s="1030"/>
      <c r="E90" s="1029"/>
      <c r="F90" s="1029"/>
    </row>
    <row r="91" spans="1:6" s="191" customFormat="1" ht="12" customHeight="1" thickBot="1" x14ac:dyDescent="0.25">
      <c r="A91" s="252" t="s">
        <v>280</v>
      </c>
      <c r="B91" s="111" t="s">
        <v>444</v>
      </c>
      <c r="C91" s="365">
        <f t="shared" si="2"/>
        <v>0</v>
      </c>
      <c r="D91" s="281"/>
      <c r="E91" s="231"/>
      <c r="F91" s="231"/>
    </row>
    <row r="92" spans="1:6" s="191" customFormat="1" ht="13.5" customHeight="1" thickBot="1" x14ac:dyDescent="0.25">
      <c r="A92" s="252" t="s">
        <v>282</v>
      </c>
      <c r="B92" s="111" t="s">
        <v>281</v>
      </c>
      <c r="C92" s="304">
        <f t="shared" si="2"/>
        <v>0</v>
      </c>
      <c r="D92" s="281"/>
      <c r="E92" s="231"/>
      <c r="F92" s="231"/>
    </row>
    <row r="93" spans="1:6" s="191" customFormat="1" ht="15.75" customHeight="1" thickBot="1" x14ac:dyDescent="0.25">
      <c r="A93" s="252" t="s">
        <v>294</v>
      </c>
      <c r="B93" s="199" t="s">
        <v>445</v>
      </c>
      <c r="C93" s="116">
        <f t="shared" si="2"/>
        <v>1771765476</v>
      </c>
      <c r="D93" s="279">
        <f>+D70+D74+D79+D82+D86+D92+D91</f>
        <v>1765021094</v>
      </c>
      <c r="E93" s="121">
        <f>+E70+E74+E79+E82+E86+E92+E91</f>
        <v>216699</v>
      </c>
      <c r="F93" s="121">
        <f>+F70+F74+F79+F82+F86+F92+F91</f>
        <v>6527683</v>
      </c>
    </row>
    <row r="94" spans="1:6" s="191" customFormat="1" ht="16.5" customHeight="1" thickBot="1" x14ac:dyDescent="0.25">
      <c r="A94" s="254" t="s">
        <v>446</v>
      </c>
      <c r="B94" s="200" t="s">
        <v>447</v>
      </c>
      <c r="C94" s="258">
        <f t="shared" si="2"/>
        <v>3810352416</v>
      </c>
      <c r="D94" s="279">
        <f>+D69+D93</f>
        <v>3693574910</v>
      </c>
      <c r="E94" s="121">
        <f>+E69+E93</f>
        <v>10205313</v>
      </c>
      <c r="F94" s="121">
        <f>+F69+F93</f>
        <v>106572193</v>
      </c>
    </row>
    <row r="95" spans="1:6" s="191" customFormat="1" ht="54" customHeight="1" x14ac:dyDescent="0.2">
      <c r="A95" s="2"/>
      <c r="B95" s="3"/>
      <c r="C95" s="122"/>
    </row>
    <row r="96" spans="1:6" ht="16.5" customHeight="1" x14ac:dyDescent="0.25">
      <c r="A96" s="1423" t="s">
        <v>47</v>
      </c>
      <c r="B96" s="1423"/>
      <c r="C96" s="1423"/>
      <c r="D96" s="178"/>
      <c r="E96" s="178"/>
      <c r="F96" s="959"/>
    </row>
    <row r="97" spans="1:6" s="201" customFormat="1" ht="16.5" customHeight="1" thickBot="1" x14ac:dyDescent="0.3">
      <c r="A97" s="1424" t="s">
        <v>127</v>
      </c>
      <c r="B97" s="1424"/>
      <c r="C97" s="58" t="s">
        <v>539</v>
      </c>
      <c r="D97" s="579"/>
      <c r="E97" s="579"/>
      <c r="F97" s="579"/>
    </row>
    <row r="98" spans="1:6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  <c r="D98" s="178" t="s">
        <v>545</v>
      </c>
      <c r="E98" s="178" t="s">
        <v>546</v>
      </c>
      <c r="F98" s="959" t="s">
        <v>547</v>
      </c>
    </row>
    <row r="99" spans="1:6" s="190" customFormat="1" ht="12" customHeight="1" thickBot="1" x14ac:dyDescent="0.25">
      <c r="A99" s="25" t="s">
        <v>434</v>
      </c>
      <c r="B99" s="26" t="s">
        <v>435</v>
      </c>
      <c r="C99" s="186" t="s">
        <v>436</v>
      </c>
    </row>
    <row r="100" spans="1:6" ht="12" customHeight="1" thickBot="1" x14ac:dyDescent="0.3">
      <c r="A100" s="19" t="s">
        <v>19</v>
      </c>
      <c r="B100" s="23" t="s">
        <v>485</v>
      </c>
      <c r="C100" s="116">
        <f t="shared" ref="C100:C160" si="3">SUM(D100:F100)</f>
        <v>1742809308</v>
      </c>
      <c r="D100" s="284">
        <f>+D101+D102+D103+D104+D105+D118</f>
        <v>732080221</v>
      </c>
      <c r="E100" s="115">
        <f>+E101+E102+E103+E104+E105+E118</f>
        <v>13591509</v>
      </c>
      <c r="F100" s="289">
        <f>F101+F102+F103+F104+F105+F118</f>
        <v>997137578</v>
      </c>
    </row>
    <row r="101" spans="1:6" ht="12" customHeight="1" x14ac:dyDescent="0.25">
      <c r="A101" s="14" t="s">
        <v>97</v>
      </c>
      <c r="B101" s="7" t="s">
        <v>49</v>
      </c>
      <c r="C101" s="298">
        <f t="shared" si="3"/>
        <v>624903592</v>
      </c>
      <c r="D101" s="294">
        <v>44363489</v>
      </c>
      <c r="E101" s="270">
        <v>7226713</v>
      </c>
      <c r="F101" s="270">
        <f>82248525+71998629+56250808+218334179+144481249</f>
        <v>573313390</v>
      </c>
    </row>
    <row r="102" spans="1:6" ht="12" customHeight="1" x14ac:dyDescent="0.25">
      <c r="A102" s="11" t="s">
        <v>98</v>
      </c>
      <c r="B102" s="5" t="s">
        <v>146</v>
      </c>
      <c r="C102" s="299">
        <f t="shared" si="3"/>
        <v>104127770</v>
      </c>
      <c r="D102" s="265">
        <v>6548579</v>
      </c>
      <c r="E102" s="120">
        <v>1117901</v>
      </c>
      <c r="F102" s="1029">
        <f>13031917+11651828+8981266+38909967+23886312</f>
        <v>96461290</v>
      </c>
    </row>
    <row r="103" spans="1:6" ht="12" customHeight="1" x14ac:dyDescent="0.25">
      <c r="A103" s="11" t="s">
        <v>99</v>
      </c>
      <c r="B103" s="5" t="s">
        <v>122</v>
      </c>
      <c r="C103" s="299">
        <f t="shared" si="3"/>
        <v>649964097</v>
      </c>
      <c r="D103" s="268">
        <f>317246579+107725</f>
        <v>317354304</v>
      </c>
      <c r="E103" s="181">
        <v>5246895</v>
      </c>
      <c r="F103" s="1029">
        <f>16220856+149872937+49098647+87035872+25134586</f>
        <v>327362898</v>
      </c>
    </row>
    <row r="104" spans="1:6" ht="12" customHeight="1" x14ac:dyDescent="0.25">
      <c r="A104" s="11" t="s">
        <v>100</v>
      </c>
      <c r="B104" s="5" t="s">
        <v>147</v>
      </c>
      <c r="C104" s="302">
        <f t="shared" si="3"/>
        <v>56500000</v>
      </c>
      <c r="D104" s="268">
        <v>56500000</v>
      </c>
      <c r="E104" s="181"/>
      <c r="F104" s="181"/>
    </row>
    <row r="105" spans="1:6" ht="12" customHeight="1" x14ac:dyDescent="0.25">
      <c r="A105" s="11" t="s">
        <v>111</v>
      </c>
      <c r="B105" s="4" t="s">
        <v>148</v>
      </c>
      <c r="C105" s="302">
        <f t="shared" si="3"/>
        <v>190934698</v>
      </c>
      <c r="D105" s="268">
        <f>SUM(D106:D117)</f>
        <v>190934698</v>
      </c>
      <c r="E105" s="268">
        <f>SUM(E106:E117)</f>
        <v>0</v>
      </c>
      <c r="F105" s="1031">
        <f>SUM(F106:F117)</f>
        <v>0</v>
      </c>
    </row>
    <row r="106" spans="1:6" ht="12" customHeight="1" x14ac:dyDescent="0.25">
      <c r="A106" s="11" t="s">
        <v>101</v>
      </c>
      <c r="B106" s="5" t="s">
        <v>448</v>
      </c>
      <c r="C106" s="302">
        <f t="shared" si="3"/>
        <v>140000</v>
      </c>
      <c r="D106" s="268">
        <v>140000</v>
      </c>
      <c r="E106" s="181"/>
      <c r="F106" s="181"/>
    </row>
    <row r="107" spans="1:6" ht="12" customHeight="1" x14ac:dyDescent="0.25">
      <c r="A107" s="11" t="s">
        <v>102</v>
      </c>
      <c r="B107" s="62" t="s">
        <v>449</v>
      </c>
      <c r="C107" s="302">
        <f t="shared" si="3"/>
        <v>0</v>
      </c>
      <c r="D107" s="268"/>
      <c r="E107" s="181"/>
      <c r="F107" s="181"/>
    </row>
    <row r="108" spans="1:6" ht="12" customHeight="1" x14ac:dyDescent="0.25">
      <c r="A108" s="11" t="s">
        <v>112</v>
      </c>
      <c r="B108" s="62" t="s">
        <v>450</v>
      </c>
      <c r="C108" s="302">
        <f t="shared" si="3"/>
        <v>24566831</v>
      </c>
      <c r="D108" s="268">
        <v>24566831</v>
      </c>
      <c r="E108" s="181"/>
      <c r="F108" s="181"/>
    </row>
    <row r="109" spans="1:6" ht="12" customHeight="1" x14ac:dyDescent="0.25">
      <c r="A109" s="11" t="s">
        <v>113</v>
      </c>
      <c r="B109" s="60" t="s">
        <v>297</v>
      </c>
      <c r="C109" s="302">
        <f t="shared" si="3"/>
        <v>0</v>
      </c>
      <c r="D109" s="268"/>
      <c r="E109" s="181"/>
      <c r="F109" s="181"/>
    </row>
    <row r="110" spans="1:6" ht="12" customHeight="1" x14ac:dyDescent="0.25">
      <c r="A110" s="11" t="s">
        <v>114</v>
      </c>
      <c r="B110" s="61" t="s">
        <v>298</v>
      </c>
      <c r="C110" s="302">
        <f t="shared" si="3"/>
        <v>0</v>
      </c>
      <c r="D110" s="268"/>
      <c r="E110" s="181"/>
      <c r="F110" s="181"/>
    </row>
    <row r="111" spans="1:6" ht="12" customHeight="1" x14ac:dyDescent="0.25">
      <c r="A111" s="11" t="s">
        <v>115</v>
      </c>
      <c r="B111" s="61" t="s">
        <v>299</v>
      </c>
      <c r="C111" s="302">
        <f t="shared" si="3"/>
        <v>0</v>
      </c>
      <c r="D111" s="268"/>
      <c r="E111" s="181"/>
      <c r="F111" s="181"/>
    </row>
    <row r="112" spans="1:6" ht="12" customHeight="1" x14ac:dyDescent="0.25">
      <c r="A112" s="11" t="s">
        <v>117</v>
      </c>
      <c r="B112" s="60" t="s">
        <v>300</v>
      </c>
      <c r="C112" s="299">
        <f t="shared" si="3"/>
        <v>636000</v>
      </c>
      <c r="D112" s="268">
        <v>636000</v>
      </c>
      <c r="E112" s="181"/>
      <c r="F112" s="181"/>
    </row>
    <row r="113" spans="1:6" ht="12" customHeight="1" x14ac:dyDescent="0.25">
      <c r="A113" s="11" t="s">
        <v>149</v>
      </c>
      <c r="B113" s="60" t="s">
        <v>301</v>
      </c>
      <c r="C113" s="302">
        <f t="shared" si="3"/>
        <v>0</v>
      </c>
      <c r="D113" s="580"/>
      <c r="E113" s="181"/>
      <c r="F113" s="181"/>
    </row>
    <row r="114" spans="1:6" ht="12" customHeight="1" x14ac:dyDescent="0.25">
      <c r="A114" s="11" t="s">
        <v>295</v>
      </c>
      <c r="B114" s="61" t="s">
        <v>302</v>
      </c>
      <c r="C114" s="302">
        <f t="shared" si="3"/>
        <v>0</v>
      </c>
      <c r="D114" s="268"/>
      <c r="E114" s="181"/>
      <c r="F114" s="181"/>
    </row>
    <row r="115" spans="1:6" ht="12" customHeight="1" x14ac:dyDescent="0.25">
      <c r="A115" s="10" t="s">
        <v>296</v>
      </c>
      <c r="B115" s="62" t="s">
        <v>303</v>
      </c>
      <c r="C115" s="302">
        <f t="shared" si="3"/>
        <v>0</v>
      </c>
      <c r="D115" s="268"/>
      <c r="E115" s="181"/>
      <c r="F115" s="181"/>
    </row>
    <row r="116" spans="1:6" ht="12" customHeight="1" x14ac:dyDescent="0.25">
      <c r="A116" s="11" t="s">
        <v>451</v>
      </c>
      <c r="B116" s="62" t="s">
        <v>304</v>
      </c>
      <c r="C116" s="302">
        <f t="shared" si="3"/>
        <v>0</v>
      </c>
      <c r="D116" s="268"/>
      <c r="E116" s="181"/>
      <c r="F116" s="181"/>
    </row>
    <row r="117" spans="1:6" ht="12" customHeight="1" x14ac:dyDescent="0.25">
      <c r="A117" s="13" t="s">
        <v>452</v>
      </c>
      <c r="B117" s="62" t="s">
        <v>305</v>
      </c>
      <c r="C117" s="299">
        <f t="shared" si="3"/>
        <v>165591867</v>
      </c>
      <c r="D117" s="265">
        <v>165591867</v>
      </c>
      <c r="E117" s="120"/>
      <c r="F117" s="181"/>
    </row>
    <row r="118" spans="1:6" ht="12" customHeight="1" x14ac:dyDescent="0.25">
      <c r="A118" s="11" t="s">
        <v>453</v>
      </c>
      <c r="B118" s="5" t="s">
        <v>50</v>
      </c>
      <c r="C118" s="302">
        <f t="shared" si="3"/>
        <v>116379151</v>
      </c>
      <c r="D118" s="265">
        <f>SUM(D119:D120)</f>
        <v>116379151</v>
      </c>
      <c r="E118" s="120"/>
      <c r="F118" s="1029"/>
    </row>
    <row r="119" spans="1:6" ht="12" customHeight="1" x14ac:dyDescent="0.25">
      <c r="A119" s="11" t="s">
        <v>454</v>
      </c>
      <c r="B119" s="5" t="s">
        <v>455</v>
      </c>
      <c r="C119" s="299">
        <f t="shared" si="3"/>
        <v>10000000</v>
      </c>
      <c r="D119" s="1031">
        <v>10000000</v>
      </c>
      <c r="E119" s="181"/>
      <c r="F119" s="1029"/>
    </row>
    <row r="120" spans="1:6" ht="12" customHeight="1" thickBot="1" x14ac:dyDescent="0.3">
      <c r="A120" s="15" t="s">
        <v>456</v>
      </c>
      <c r="B120" s="255" t="s">
        <v>457</v>
      </c>
      <c r="C120" s="299">
        <f t="shared" si="3"/>
        <v>106379151</v>
      </c>
      <c r="D120" s="295">
        <f>99315612+4715+7058824</f>
        <v>106379151</v>
      </c>
      <c r="E120" s="274"/>
      <c r="F120" s="274"/>
    </row>
    <row r="121" spans="1:6" ht="12" customHeight="1" thickBot="1" x14ac:dyDescent="0.3">
      <c r="A121" s="256" t="s">
        <v>20</v>
      </c>
      <c r="B121" s="257" t="s">
        <v>306</v>
      </c>
      <c r="C121" s="116">
        <f t="shared" si="3"/>
        <v>806843156</v>
      </c>
      <c r="D121" s="276">
        <f>+D122+D124+D126</f>
        <v>801416744</v>
      </c>
      <c r="E121" s="116">
        <f>+E122+E124+E126</f>
        <v>788100</v>
      </c>
      <c r="F121" s="258">
        <f>+F122+F124+F126</f>
        <v>4638312</v>
      </c>
    </row>
    <row r="122" spans="1:6" ht="18.75" customHeight="1" x14ac:dyDescent="0.25">
      <c r="A122" s="12" t="s">
        <v>103</v>
      </c>
      <c r="B122" s="5" t="s">
        <v>170</v>
      </c>
      <c r="C122" s="298">
        <f>SUM(D122:F122)</f>
        <v>443268642</v>
      </c>
      <c r="D122" s="280">
        <v>438159730</v>
      </c>
      <c r="E122" s="230">
        <v>788100</v>
      </c>
      <c r="F122" s="230">
        <f>25000+3139962+800000+355850</f>
        <v>4320812</v>
      </c>
    </row>
    <row r="123" spans="1:6" ht="12" customHeight="1" x14ac:dyDescent="0.25">
      <c r="A123" s="12" t="s">
        <v>104</v>
      </c>
      <c r="B123" s="9" t="s">
        <v>310</v>
      </c>
      <c r="C123" s="298">
        <f t="shared" si="3"/>
        <v>401925076</v>
      </c>
      <c r="D123" s="1032">
        <v>401925076</v>
      </c>
      <c r="E123" s="230"/>
      <c r="F123" s="230"/>
    </row>
    <row r="124" spans="1:6" ht="12" customHeight="1" x14ac:dyDescent="0.25">
      <c r="A124" s="12" t="s">
        <v>105</v>
      </c>
      <c r="B124" s="9" t="s">
        <v>150</v>
      </c>
      <c r="C124" s="298">
        <f t="shared" si="3"/>
        <v>357662708</v>
      </c>
      <c r="D124" s="265">
        <v>357345208</v>
      </c>
      <c r="E124" s="120"/>
      <c r="F124" s="1029">
        <v>317500</v>
      </c>
    </row>
    <row r="125" spans="1:6" ht="12" customHeight="1" x14ac:dyDescent="0.25">
      <c r="A125" s="12" t="s">
        <v>106</v>
      </c>
      <c r="B125" s="9" t="s">
        <v>311</v>
      </c>
      <c r="C125" s="298">
        <f t="shared" si="3"/>
        <v>290689778</v>
      </c>
      <c r="D125" s="265">
        <f>80032238+2424+210655116</f>
        <v>290689778</v>
      </c>
      <c r="E125" s="578"/>
      <c r="F125" s="1030"/>
    </row>
    <row r="126" spans="1:6" ht="12" customHeight="1" x14ac:dyDescent="0.25">
      <c r="A126" s="12" t="s">
        <v>107</v>
      </c>
      <c r="B126" s="113" t="s">
        <v>172</v>
      </c>
      <c r="C126" s="187">
        <f t="shared" si="3"/>
        <v>5911806</v>
      </c>
      <c r="D126" s="268">
        <f>SUM(D127:D134)</f>
        <v>5911806</v>
      </c>
      <c r="E126" s="265"/>
      <c r="F126" s="1030"/>
    </row>
    <row r="127" spans="1:6" ht="12" customHeight="1" x14ac:dyDescent="0.25">
      <c r="A127" s="12" t="s">
        <v>116</v>
      </c>
      <c r="B127" s="112" t="s">
        <v>373</v>
      </c>
      <c r="C127" s="187">
        <f t="shared" si="3"/>
        <v>0</v>
      </c>
      <c r="D127" s="105"/>
      <c r="E127" s="105"/>
      <c r="F127" s="1030"/>
    </row>
    <row r="128" spans="1:6" ht="12" customHeight="1" x14ac:dyDescent="0.25">
      <c r="A128" s="12" t="s">
        <v>118</v>
      </c>
      <c r="B128" s="188" t="s">
        <v>316</v>
      </c>
      <c r="C128" s="187">
        <f t="shared" si="3"/>
        <v>0</v>
      </c>
      <c r="D128" s="105"/>
      <c r="E128" s="105"/>
      <c r="F128" s="1030"/>
    </row>
    <row r="129" spans="1:6" x14ac:dyDescent="0.25">
      <c r="A129" s="12" t="s">
        <v>151</v>
      </c>
      <c r="B129" s="61" t="s">
        <v>299</v>
      </c>
      <c r="C129" s="187">
        <f t="shared" si="3"/>
        <v>0</v>
      </c>
      <c r="D129" s="105"/>
      <c r="E129" s="105"/>
      <c r="F129" s="1030"/>
    </row>
    <row r="130" spans="1:6" ht="12" customHeight="1" x14ac:dyDescent="0.25">
      <c r="A130" s="12" t="s">
        <v>152</v>
      </c>
      <c r="B130" s="61" t="s">
        <v>315</v>
      </c>
      <c r="C130" s="187">
        <f t="shared" si="3"/>
        <v>0</v>
      </c>
      <c r="D130" s="105"/>
      <c r="E130" s="105"/>
      <c r="F130" s="1030"/>
    </row>
    <row r="131" spans="1:6" ht="12" customHeight="1" x14ac:dyDescent="0.25">
      <c r="A131" s="12" t="s">
        <v>153</v>
      </c>
      <c r="B131" s="61" t="s">
        <v>314</v>
      </c>
      <c r="C131" s="187">
        <f t="shared" si="3"/>
        <v>0</v>
      </c>
      <c r="D131" s="105"/>
      <c r="E131" s="105"/>
      <c r="F131" s="1030"/>
    </row>
    <row r="132" spans="1:6" ht="12" customHeight="1" x14ac:dyDescent="0.25">
      <c r="A132" s="12" t="s">
        <v>307</v>
      </c>
      <c r="B132" s="61" t="s">
        <v>302</v>
      </c>
      <c r="C132" s="187">
        <f t="shared" si="3"/>
        <v>0</v>
      </c>
      <c r="D132" s="105"/>
      <c r="E132" s="105"/>
      <c r="F132" s="1030"/>
    </row>
    <row r="133" spans="1:6" ht="12" customHeight="1" x14ac:dyDescent="0.25">
      <c r="A133" s="12" t="s">
        <v>308</v>
      </c>
      <c r="B133" s="61" t="s">
        <v>313</v>
      </c>
      <c r="C133" s="187">
        <f t="shared" si="3"/>
        <v>0</v>
      </c>
      <c r="D133" s="105"/>
      <c r="E133" s="105"/>
      <c r="F133" s="1030"/>
    </row>
    <row r="134" spans="1:6" ht="16.5" thickBot="1" x14ac:dyDescent="0.3">
      <c r="A134" s="10" t="s">
        <v>309</v>
      </c>
      <c r="B134" s="61" t="s">
        <v>312</v>
      </c>
      <c r="C134" s="298">
        <f t="shared" si="3"/>
        <v>5911806</v>
      </c>
      <c r="D134" s="106">
        <v>5911806</v>
      </c>
      <c r="E134" s="268"/>
      <c r="F134" s="1031"/>
    </row>
    <row r="135" spans="1:6" ht="12" customHeight="1" thickBot="1" x14ac:dyDescent="0.3">
      <c r="A135" s="17" t="s">
        <v>21</v>
      </c>
      <c r="B135" s="56" t="s">
        <v>458</v>
      </c>
      <c r="C135" s="116">
        <f t="shared" si="3"/>
        <v>2549652464</v>
      </c>
      <c r="D135" s="276">
        <f>+D100+D121</f>
        <v>1533496965</v>
      </c>
      <c r="E135" s="116">
        <f>+E100+E121</f>
        <v>14379609</v>
      </c>
      <c r="F135" s="116">
        <f>+F100+F121</f>
        <v>1001775890</v>
      </c>
    </row>
    <row r="136" spans="1:6" ht="12" customHeight="1" thickBot="1" x14ac:dyDescent="0.3">
      <c r="A136" s="17" t="s">
        <v>22</v>
      </c>
      <c r="B136" s="56" t="s">
        <v>459</v>
      </c>
      <c r="C136" s="304">
        <f t="shared" si="3"/>
        <v>873325747</v>
      </c>
      <c r="D136" s="276">
        <f>+D137+D138+D139</f>
        <v>873325747</v>
      </c>
      <c r="E136" s="116">
        <f>+E137+E138+E139</f>
        <v>0</v>
      </c>
      <c r="F136" s="116">
        <f>+F137+F138+F139</f>
        <v>0</v>
      </c>
    </row>
    <row r="137" spans="1:6" ht="12" customHeight="1" x14ac:dyDescent="0.25">
      <c r="A137" s="12" t="s">
        <v>208</v>
      </c>
      <c r="B137" s="9" t="s">
        <v>460</v>
      </c>
      <c r="C137" s="187">
        <f t="shared" si="3"/>
        <v>23325747</v>
      </c>
      <c r="D137" s="265">
        <v>23325747</v>
      </c>
      <c r="E137" s="265"/>
      <c r="F137" s="1030"/>
    </row>
    <row r="138" spans="1:6" ht="12" customHeight="1" x14ac:dyDescent="0.25">
      <c r="A138" s="12" t="s">
        <v>211</v>
      </c>
      <c r="B138" s="9" t="s">
        <v>461</v>
      </c>
      <c r="C138" s="299">
        <f t="shared" si="3"/>
        <v>850000000</v>
      </c>
      <c r="D138" s="105">
        <v>850000000</v>
      </c>
      <c r="E138" s="105"/>
      <c r="F138" s="105"/>
    </row>
    <row r="139" spans="1:6" ht="12" customHeight="1" thickBot="1" x14ac:dyDescent="0.3">
      <c r="A139" s="10" t="s">
        <v>212</v>
      </c>
      <c r="B139" s="9" t="s">
        <v>462</v>
      </c>
      <c r="C139" s="303">
        <f t="shared" si="3"/>
        <v>0</v>
      </c>
      <c r="D139" s="105"/>
      <c r="E139" s="105"/>
      <c r="F139" s="105"/>
    </row>
    <row r="140" spans="1:6" ht="12" customHeight="1" thickBot="1" x14ac:dyDescent="0.3">
      <c r="A140" s="17" t="s">
        <v>23</v>
      </c>
      <c r="B140" s="56" t="s">
        <v>463</v>
      </c>
      <c r="C140" s="304">
        <f t="shared" si="3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</row>
    <row r="141" spans="1:6" ht="12" customHeight="1" x14ac:dyDescent="0.25">
      <c r="A141" s="12" t="s">
        <v>90</v>
      </c>
      <c r="B141" s="6" t="s">
        <v>464</v>
      </c>
      <c r="C141" s="187">
        <f t="shared" si="3"/>
        <v>0</v>
      </c>
      <c r="D141" s="105"/>
      <c r="E141" s="105"/>
      <c r="F141" s="105"/>
    </row>
    <row r="142" spans="1:6" ht="12" customHeight="1" x14ac:dyDescent="0.25">
      <c r="A142" s="12" t="s">
        <v>91</v>
      </c>
      <c r="B142" s="6" t="s">
        <v>465</v>
      </c>
      <c r="C142" s="302">
        <f t="shared" si="3"/>
        <v>0</v>
      </c>
      <c r="D142" s="105"/>
      <c r="E142" s="105"/>
      <c r="F142" s="105"/>
    </row>
    <row r="143" spans="1:6" ht="12" customHeight="1" x14ac:dyDescent="0.25">
      <c r="A143" s="12" t="s">
        <v>92</v>
      </c>
      <c r="B143" s="6" t="s">
        <v>466</v>
      </c>
      <c r="C143" s="302">
        <f t="shared" si="3"/>
        <v>0</v>
      </c>
      <c r="D143" s="105"/>
      <c r="E143" s="105"/>
      <c r="F143" s="105"/>
    </row>
    <row r="144" spans="1:6" ht="12" customHeight="1" x14ac:dyDescent="0.25">
      <c r="A144" s="12" t="s">
        <v>138</v>
      </c>
      <c r="B144" s="6" t="s">
        <v>467</v>
      </c>
      <c r="C144" s="302">
        <f t="shared" si="3"/>
        <v>0</v>
      </c>
      <c r="D144" s="105"/>
      <c r="E144" s="105"/>
      <c r="F144" s="105"/>
    </row>
    <row r="145" spans="1:9" ht="12" customHeight="1" x14ac:dyDescent="0.25">
      <c r="A145" s="12" t="s">
        <v>139</v>
      </c>
      <c r="B145" s="6" t="s">
        <v>468</v>
      </c>
      <c r="C145" s="302">
        <f t="shared" si="3"/>
        <v>0</v>
      </c>
      <c r="D145" s="105"/>
      <c r="E145" s="105"/>
      <c r="F145" s="105"/>
    </row>
    <row r="146" spans="1:9" ht="12" customHeight="1" thickBot="1" x14ac:dyDescent="0.3">
      <c r="A146" s="10" t="s">
        <v>140</v>
      </c>
      <c r="B146" s="6" t="s">
        <v>469</v>
      </c>
      <c r="C146" s="303">
        <f t="shared" si="3"/>
        <v>0</v>
      </c>
      <c r="D146" s="105"/>
      <c r="E146" s="105"/>
      <c r="F146" s="105"/>
    </row>
    <row r="147" spans="1:9" ht="12" customHeight="1" thickBot="1" x14ac:dyDescent="0.3">
      <c r="A147" s="17" t="s">
        <v>24</v>
      </c>
      <c r="B147" s="56" t="s">
        <v>470</v>
      </c>
      <c r="C147" s="116">
        <f t="shared" si="3"/>
        <v>48966750</v>
      </c>
      <c r="D147" s="279">
        <f>+D148+D149+D150+D151</f>
        <v>48966750</v>
      </c>
      <c r="E147" s="121">
        <f>+E148+E149+E150+E151</f>
        <v>0</v>
      </c>
      <c r="F147" s="121">
        <f>+F148+F149+F150+F151</f>
        <v>0</v>
      </c>
    </row>
    <row r="148" spans="1:9" ht="12" customHeight="1" x14ac:dyDescent="0.25">
      <c r="A148" s="12" t="s">
        <v>93</v>
      </c>
      <c r="B148" s="6" t="s">
        <v>317</v>
      </c>
      <c r="C148" s="187">
        <f t="shared" si="3"/>
        <v>0</v>
      </c>
      <c r="D148" s="105"/>
      <c r="E148" s="105"/>
      <c r="F148" s="105"/>
    </row>
    <row r="149" spans="1:9" ht="12" customHeight="1" x14ac:dyDescent="0.25">
      <c r="A149" s="12" t="s">
        <v>94</v>
      </c>
      <c r="B149" s="6" t="s">
        <v>318</v>
      </c>
      <c r="C149" s="299">
        <f t="shared" si="3"/>
        <v>48966750</v>
      </c>
      <c r="D149" s="105">
        <v>48966750</v>
      </c>
      <c r="E149" s="105"/>
      <c r="F149" s="105"/>
    </row>
    <row r="150" spans="1:9" ht="12" customHeight="1" x14ac:dyDescent="0.25">
      <c r="A150" s="12" t="s">
        <v>231</v>
      </c>
      <c r="B150" s="6" t="s">
        <v>471</v>
      </c>
      <c r="C150" s="302">
        <f t="shared" si="3"/>
        <v>0</v>
      </c>
      <c r="D150" s="105"/>
      <c r="E150" s="105"/>
      <c r="F150" s="105"/>
    </row>
    <row r="151" spans="1:9" ht="12" customHeight="1" thickBot="1" x14ac:dyDescent="0.3">
      <c r="A151" s="10" t="s">
        <v>232</v>
      </c>
      <c r="B151" s="4" t="s">
        <v>336</v>
      </c>
      <c r="C151" s="303">
        <f t="shared" si="3"/>
        <v>0</v>
      </c>
      <c r="D151" s="105"/>
      <c r="E151" s="105"/>
      <c r="F151" s="105"/>
    </row>
    <row r="152" spans="1:9" ht="12" customHeight="1" thickBot="1" x14ac:dyDescent="0.3">
      <c r="A152" s="17" t="s">
        <v>25</v>
      </c>
      <c r="B152" s="56" t="s">
        <v>472</v>
      </c>
      <c r="C152" s="304">
        <f t="shared" si="3"/>
        <v>0</v>
      </c>
      <c r="D152" s="286">
        <f>+D153+D154+D155+D156+D157</f>
        <v>0</v>
      </c>
      <c r="E152" s="124">
        <f>+E153+E154+E155+E156+E157</f>
        <v>0</v>
      </c>
      <c r="F152" s="1346">
        <f>SUM(F153:F157)</f>
        <v>0</v>
      </c>
    </row>
    <row r="153" spans="1:9" ht="12" customHeight="1" x14ac:dyDescent="0.25">
      <c r="A153" s="12" t="s">
        <v>95</v>
      </c>
      <c r="B153" s="6" t="s">
        <v>473</v>
      </c>
      <c r="C153" s="187">
        <f t="shared" si="3"/>
        <v>0</v>
      </c>
      <c r="D153" s="105"/>
      <c r="E153" s="105"/>
      <c r="F153" s="105"/>
    </row>
    <row r="154" spans="1:9" ht="12" customHeight="1" x14ac:dyDescent="0.25">
      <c r="A154" s="12" t="s">
        <v>96</v>
      </c>
      <c r="B154" s="6" t="s">
        <v>474</v>
      </c>
      <c r="C154" s="302">
        <f t="shared" si="3"/>
        <v>0</v>
      </c>
      <c r="D154" s="105"/>
      <c r="E154" s="105"/>
      <c r="F154" s="105"/>
    </row>
    <row r="155" spans="1:9" ht="12" customHeight="1" x14ac:dyDescent="0.25">
      <c r="A155" s="12" t="s">
        <v>243</v>
      </c>
      <c r="B155" s="6" t="s">
        <v>475</v>
      </c>
      <c r="C155" s="302">
        <f t="shared" si="3"/>
        <v>0</v>
      </c>
      <c r="D155" s="105"/>
      <c r="E155" s="105"/>
      <c r="F155" s="105"/>
    </row>
    <row r="156" spans="1:9" ht="12" customHeight="1" x14ac:dyDescent="0.25">
      <c r="A156" s="12" t="s">
        <v>244</v>
      </c>
      <c r="B156" s="6" t="s">
        <v>476</v>
      </c>
      <c r="C156" s="302">
        <f t="shared" si="3"/>
        <v>0</v>
      </c>
      <c r="D156" s="105"/>
      <c r="E156" s="105"/>
      <c r="F156" s="105"/>
    </row>
    <row r="157" spans="1:9" ht="12" customHeight="1" thickBot="1" x14ac:dyDescent="0.3">
      <c r="A157" s="12" t="s">
        <v>477</v>
      </c>
      <c r="B157" s="6" t="s">
        <v>478</v>
      </c>
      <c r="C157" s="303">
        <f t="shared" si="3"/>
        <v>0</v>
      </c>
      <c r="D157" s="106"/>
      <c r="E157" s="106"/>
      <c r="F157" s="105"/>
    </row>
    <row r="158" spans="1:9" ht="12" customHeight="1" thickBot="1" x14ac:dyDescent="0.3">
      <c r="A158" s="17" t="s">
        <v>26</v>
      </c>
      <c r="B158" s="56" t="s">
        <v>479</v>
      </c>
      <c r="C158" s="116">
        <f t="shared" si="3"/>
        <v>0</v>
      </c>
      <c r="D158" s="286"/>
      <c r="E158" s="124"/>
      <c r="F158" s="1347"/>
    </row>
    <row r="159" spans="1:9" ht="12" customHeight="1" thickBot="1" x14ac:dyDescent="0.3">
      <c r="A159" s="17" t="s">
        <v>27</v>
      </c>
      <c r="B159" s="56" t="s">
        <v>480</v>
      </c>
      <c r="C159" s="115">
        <f t="shared" si="3"/>
        <v>0</v>
      </c>
      <c r="D159" s="286"/>
      <c r="E159" s="124"/>
      <c r="F159" s="1347"/>
    </row>
    <row r="160" spans="1:9" ht="15" customHeight="1" thickBot="1" x14ac:dyDescent="0.3">
      <c r="A160" s="17" t="s">
        <v>28</v>
      </c>
      <c r="B160" s="56" t="s">
        <v>481</v>
      </c>
      <c r="C160" s="115">
        <f t="shared" si="3"/>
        <v>922292497</v>
      </c>
      <c r="D160" s="287">
        <f>+D136+D140+D147+D152+D158+D159</f>
        <v>922292497</v>
      </c>
      <c r="E160" s="202">
        <f>+E136+E140+E147+E152+E158+E159</f>
        <v>0</v>
      </c>
      <c r="F160" s="1348">
        <f>+F136+F140+F147+F152+F158+F159</f>
        <v>0</v>
      </c>
      <c r="G160" s="203"/>
      <c r="H160" s="203"/>
      <c r="I160" s="203"/>
    </row>
    <row r="161" spans="1:6" s="191" customFormat="1" ht="12.95" customHeight="1" thickBot="1" x14ac:dyDescent="0.25">
      <c r="A161" s="114" t="s">
        <v>29</v>
      </c>
      <c r="B161" s="177" t="s">
        <v>482</v>
      </c>
      <c r="C161" s="116">
        <f>SUM(D161:F161)</f>
        <v>3471944961</v>
      </c>
      <c r="D161" s="287">
        <f>+D135+D160</f>
        <v>2455789462</v>
      </c>
      <c r="E161" s="202">
        <f>+E135+E160</f>
        <v>14379609</v>
      </c>
      <c r="F161" s="1348">
        <f>+F135+F160</f>
        <v>1001775890</v>
      </c>
    </row>
    <row r="162" spans="1:6" ht="7.5" customHeight="1" x14ac:dyDescent="0.25"/>
    <row r="163" spans="1:6" x14ac:dyDescent="0.25">
      <c r="A163" s="1420" t="s">
        <v>319</v>
      </c>
      <c r="B163" s="1420"/>
      <c r="C163" s="1420"/>
    </row>
    <row r="164" spans="1:6" ht="9.75" customHeight="1" thickBot="1" x14ac:dyDescent="0.3">
      <c r="A164" s="1422" t="s">
        <v>128</v>
      </c>
      <c r="B164" s="1422"/>
      <c r="C164" s="125" t="s">
        <v>539</v>
      </c>
    </row>
    <row r="165" spans="1:6" ht="21" customHeight="1" thickBot="1" x14ac:dyDescent="0.3">
      <c r="A165" s="17">
        <v>1</v>
      </c>
      <c r="B165" s="22" t="s">
        <v>483</v>
      </c>
      <c r="C165" s="116">
        <f>+C69-C135</f>
        <v>-511065524</v>
      </c>
    </row>
    <row r="166" spans="1:6" ht="21.75" thickBot="1" x14ac:dyDescent="0.3">
      <c r="A166" s="17" t="s">
        <v>20</v>
      </c>
      <c r="B166" s="22" t="s">
        <v>816</v>
      </c>
      <c r="C166" s="116">
        <f>+C93-C160</f>
        <v>849472979</v>
      </c>
    </row>
    <row r="167" spans="1:6" x14ac:dyDescent="0.25">
      <c r="F167" s="306"/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5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C19" sqref="C19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3" ht="12.75" customHeight="1" x14ac:dyDescent="0.2">
      <c r="A1" s="1468" t="str">
        <f>CONCATENATE("9.3.1. melléklet"," ",ALAPADATOK!A7," ",ALAPADATOK!B7," ",ALAPADATOK!C7," ",ALAPADATOK!D7," ",ALAPADATOK!E7," ",ALAPADATOK!F7," ",ALAPADATOK!G7," ",ALAPADATOK!H7)</f>
        <v>9.3.1.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1151"/>
    </row>
    <row r="3" spans="1:3" s="225" customFormat="1" ht="33.75" customHeight="1" x14ac:dyDescent="0.2">
      <c r="A3" s="182" t="s">
        <v>164</v>
      </c>
      <c r="B3" s="161" t="s">
        <v>401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53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50">
        <f>SUM(C10:C20)</f>
        <v>8197206</v>
      </c>
    </row>
    <row r="10" spans="1:3" s="176" customFormat="1" ht="12" customHeight="1" x14ac:dyDescent="0.2">
      <c r="A10" s="219" t="s">
        <v>97</v>
      </c>
      <c r="B10" s="7" t="s">
        <v>220</v>
      </c>
      <c r="C10" s="651"/>
    </row>
    <row r="11" spans="1:3" s="176" customFormat="1" ht="12" customHeight="1" x14ac:dyDescent="0.2">
      <c r="A11" s="220" t="s">
        <v>98</v>
      </c>
      <c r="B11" s="5" t="s">
        <v>221</v>
      </c>
      <c r="C11" s="652">
        <v>600000</v>
      </c>
    </row>
    <row r="12" spans="1:3" s="176" customFormat="1" ht="12" customHeight="1" x14ac:dyDescent="0.2">
      <c r="A12" s="220" t="s">
        <v>99</v>
      </c>
      <c r="B12" s="5" t="s">
        <v>222</v>
      </c>
      <c r="C12" s="652">
        <v>4600000</v>
      </c>
    </row>
    <row r="13" spans="1:3" s="176" customFormat="1" ht="12" customHeight="1" x14ac:dyDescent="0.2">
      <c r="A13" s="220" t="s">
        <v>100</v>
      </c>
      <c r="B13" s="5" t="s">
        <v>223</v>
      </c>
      <c r="C13" s="652"/>
    </row>
    <row r="14" spans="1:3" s="176" customFormat="1" ht="12" customHeight="1" x14ac:dyDescent="0.2">
      <c r="A14" s="220" t="s">
        <v>123</v>
      </c>
      <c r="B14" s="5" t="s">
        <v>224</v>
      </c>
      <c r="C14" s="652">
        <v>1011380</v>
      </c>
    </row>
    <row r="15" spans="1:3" s="176" customFormat="1" ht="12" customHeight="1" x14ac:dyDescent="0.2">
      <c r="A15" s="220" t="s">
        <v>101</v>
      </c>
      <c r="B15" s="5" t="s">
        <v>345</v>
      </c>
      <c r="C15" s="652">
        <v>1677073</v>
      </c>
    </row>
    <row r="16" spans="1:3" s="176" customFormat="1" ht="12" customHeight="1" x14ac:dyDescent="0.2">
      <c r="A16" s="220" t="s">
        <v>102</v>
      </c>
      <c r="B16" s="4" t="s">
        <v>346</v>
      </c>
      <c r="C16" s="652">
        <v>305753</v>
      </c>
    </row>
    <row r="17" spans="1:3" s="176" customFormat="1" ht="12" customHeight="1" x14ac:dyDescent="0.2">
      <c r="A17" s="220" t="s">
        <v>112</v>
      </c>
      <c r="B17" s="5" t="s">
        <v>227</v>
      </c>
      <c r="C17" s="653"/>
    </row>
    <row r="18" spans="1:3" s="228" customFormat="1" ht="12" customHeight="1" x14ac:dyDescent="0.2">
      <c r="A18" s="220" t="s">
        <v>113</v>
      </c>
      <c r="B18" s="5" t="s">
        <v>228</v>
      </c>
      <c r="C18" s="652"/>
    </row>
    <row r="19" spans="1:3" s="228" customFormat="1" ht="12" customHeight="1" x14ac:dyDescent="0.2">
      <c r="A19" s="220" t="s">
        <v>114</v>
      </c>
      <c r="B19" s="5" t="s">
        <v>440</v>
      </c>
      <c r="C19" s="654"/>
    </row>
    <row r="20" spans="1:3" s="228" customFormat="1" ht="12" customHeight="1" thickBot="1" x14ac:dyDescent="0.25">
      <c r="A20" s="220" t="s">
        <v>115</v>
      </c>
      <c r="B20" s="4" t="s">
        <v>229</v>
      </c>
      <c r="C20" s="654">
        <v>3000</v>
      </c>
    </row>
    <row r="21" spans="1:3" s="176" customFormat="1" ht="12" customHeight="1" thickBot="1" x14ac:dyDescent="0.25">
      <c r="A21" s="73" t="s">
        <v>20</v>
      </c>
      <c r="B21" s="90" t="s">
        <v>347</v>
      </c>
      <c r="C21" s="65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5"/>
    </row>
    <row r="23" spans="1:3" s="228" customFormat="1" ht="12" customHeight="1" x14ac:dyDescent="0.2">
      <c r="A23" s="220" t="s">
        <v>104</v>
      </c>
      <c r="B23" s="5" t="s">
        <v>348</v>
      </c>
      <c r="C23" s="652"/>
    </row>
    <row r="24" spans="1:3" s="228" customFormat="1" ht="12" customHeight="1" x14ac:dyDescent="0.2">
      <c r="A24" s="220" t="s">
        <v>105</v>
      </c>
      <c r="B24" s="5" t="s">
        <v>349</v>
      </c>
      <c r="C24" s="656"/>
    </row>
    <row r="25" spans="1:3" s="228" customFormat="1" ht="12" customHeight="1" thickBot="1" x14ac:dyDescent="0.25">
      <c r="A25" s="220" t="s">
        <v>106</v>
      </c>
      <c r="B25" s="5" t="s">
        <v>511</v>
      </c>
      <c r="C25" s="652"/>
    </row>
    <row r="26" spans="1:3" s="228" customFormat="1" ht="12" customHeight="1" thickBot="1" x14ac:dyDescent="0.25">
      <c r="A26" s="76" t="s">
        <v>21</v>
      </c>
      <c r="B26" s="56" t="s">
        <v>137</v>
      </c>
      <c r="C26" s="657"/>
    </row>
    <row r="27" spans="1:3" s="228" customFormat="1" ht="12" customHeight="1" thickBot="1" x14ac:dyDescent="0.25">
      <c r="A27" s="76" t="s">
        <v>22</v>
      </c>
      <c r="B27" s="56" t="s">
        <v>512</v>
      </c>
      <c r="C27" s="65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8"/>
    </row>
    <row r="29" spans="1:3" s="228" customFormat="1" ht="12" customHeight="1" x14ac:dyDescent="0.2">
      <c r="A29" s="221" t="s">
        <v>211</v>
      </c>
      <c r="B29" s="222" t="s">
        <v>348</v>
      </c>
      <c r="C29" s="655"/>
    </row>
    <row r="30" spans="1:3" s="228" customFormat="1" ht="12" customHeight="1" x14ac:dyDescent="0.2">
      <c r="A30" s="221" t="s">
        <v>212</v>
      </c>
      <c r="B30" s="223" t="s">
        <v>350</v>
      </c>
      <c r="C30" s="655"/>
    </row>
    <row r="31" spans="1:3" s="228" customFormat="1" ht="12" customHeight="1" thickBot="1" x14ac:dyDescent="0.25">
      <c r="A31" s="220" t="s">
        <v>213</v>
      </c>
      <c r="B31" s="59" t="s">
        <v>513</v>
      </c>
      <c r="C31" s="659"/>
    </row>
    <row r="32" spans="1:3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8"/>
    </row>
    <row r="34" spans="1:3" s="228" customFormat="1" ht="12" customHeight="1" x14ac:dyDescent="0.2">
      <c r="A34" s="221" t="s">
        <v>91</v>
      </c>
      <c r="B34" s="223" t="s">
        <v>235</v>
      </c>
      <c r="C34" s="653"/>
    </row>
    <row r="35" spans="1:3" s="176" customFormat="1" ht="12" customHeight="1" thickBot="1" x14ac:dyDescent="0.25">
      <c r="A35" s="220" t="s">
        <v>92</v>
      </c>
      <c r="B35" s="59" t="s">
        <v>236</v>
      </c>
      <c r="C35" s="659"/>
    </row>
    <row r="36" spans="1:3" s="176" customFormat="1" ht="12" customHeight="1" thickBot="1" x14ac:dyDescent="0.25">
      <c r="A36" s="76" t="s">
        <v>24</v>
      </c>
      <c r="B36" s="56" t="s">
        <v>322</v>
      </c>
      <c r="C36" s="657"/>
    </row>
    <row r="37" spans="1:3" s="176" customFormat="1" ht="12" customHeight="1" thickBot="1" x14ac:dyDescent="0.25">
      <c r="A37" s="76" t="s">
        <v>25</v>
      </c>
      <c r="B37" s="56" t="s">
        <v>352</v>
      </c>
      <c r="C37" s="660"/>
    </row>
    <row r="38" spans="1:3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8197206</v>
      </c>
    </row>
    <row r="39" spans="1:3" s="176" customFormat="1" ht="12" customHeight="1" thickBot="1" x14ac:dyDescent="0.25">
      <c r="A39" s="1152" t="s">
        <v>27</v>
      </c>
      <c r="B39" s="56" t="s">
        <v>354</v>
      </c>
      <c r="C39" s="661">
        <f>+C40+C41+C42</f>
        <v>337200312</v>
      </c>
    </row>
    <row r="40" spans="1:3" s="176" customFormat="1" ht="12" customHeight="1" x14ac:dyDescent="0.2">
      <c r="A40" s="221" t="s">
        <v>355</v>
      </c>
      <c r="B40" s="222" t="s">
        <v>179</v>
      </c>
      <c r="C40" s="658">
        <v>1261346</v>
      </c>
    </row>
    <row r="41" spans="1:3" s="228" customFormat="1" ht="12" customHeight="1" x14ac:dyDescent="0.2">
      <c r="A41" s="221" t="s">
        <v>356</v>
      </c>
      <c r="B41" s="223" t="s">
        <v>7</v>
      </c>
      <c r="C41" s="653"/>
    </row>
    <row r="42" spans="1:3" s="228" customFormat="1" ht="15" customHeight="1" thickBot="1" x14ac:dyDescent="0.25">
      <c r="A42" s="220" t="s">
        <v>357</v>
      </c>
      <c r="B42" s="59" t="s">
        <v>358</v>
      </c>
      <c r="C42" s="659">
        <f>335938966</f>
        <v>335938966</v>
      </c>
    </row>
    <row r="43" spans="1:3" s="228" customFormat="1" ht="15" customHeight="1" thickBot="1" x14ac:dyDescent="0.25">
      <c r="A43" s="1152" t="s">
        <v>28</v>
      </c>
      <c r="B43" s="1153" t="s">
        <v>359</v>
      </c>
      <c r="C43" s="662">
        <f>+C38+C39</f>
        <v>345397518</v>
      </c>
    </row>
    <row r="44" spans="1:3" x14ac:dyDescent="0.2">
      <c r="A44" s="93"/>
      <c r="B44" s="94"/>
      <c r="C44" s="663"/>
    </row>
    <row r="45" spans="1:3" s="227" customFormat="1" ht="16.5" customHeight="1" thickBot="1" x14ac:dyDescent="0.25">
      <c r="A45" s="95"/>
      <c r="B45" s="96"/>
      <c r="C45" s="664"/>
    </row>
    <row r="46" spans="1:3" s="229" customFormat="1" ht="12" customHeight="1" thickBot="1" x14ac:dyDescent="0.25">
      <c r="A46" s="97"/>
      <c r="B46" s="98" t="s">
        <v>57</v>
      </c>
      <c r="C46" s="662"/>
    </row>
    <row r="47" spans="1:3" ht="12" customHeight="1" thickBot="1" x14ac:dyDescent="0.25">
      <c r="A47" s="76" t="s">
        <v>19</v>
      </c>
      <c r="B47" s="56" t="s">
        <v>360</v>
      </c>
      <c r="C47" s="650">
        <f>SUM(C48:C52)</f>
        <v>344280018</v>
      </c>
    </row>
    <row r="48" spans="1:3" ht="12" customHeight="1" x14ac:dyDescent="0.2">
      <c r="A48" s="220" t="s">
        <v>97</v>
      </c>
      <c r="B48" s="6" t="s">
        <v>49</v>
      </c>
      <c r="C48" s="658">
        <f>218334179</f>
        <v>218334179</v>
      </c>
    </row>
    <row r="49" spans="1:3" ht="12" customHeight="1" x14ac:dyDescent="0.2">
      <c r="A49" s="220" t="s">
        <v>98</v>
      </c>
      <c r="B49" s="5" t="s">
        <v>146</v>
      </c>
      <c r="C49" s="652">
        <f>38909967</f>
        <v>38909967</v>
      </c>
    </row>
    <row r="50" spans="1:3" ht="12" customHeight="1" x14ac:dyDescent="0.2">
      <c r="A50" s="220" t="s">
        <v>99</v>
      </c>
      <c r="B50" s="5" t="s">
        <v>122</v>
      </c>
      <c r="C50" s="652">
        <f>87035872</f>
        <v>87035872</v>
      </c>
    </row>
    <row r="51" spans="1:3" ht="12" customHeight="1" x14ac:dyDescent="0.2">
      <c r="A51" s="220" t="s">
        <v>100</v>
      </c>
      <c r="B51" s="5" t="s">
        <v>147</v>
      </c>
      <c r="C51" s="652"/>
    </row>
    <row r="52" spans="1:3" ht="12" customHeight="1" thickBot="1" x14ac:dyDescent="0.25">
      <c r="A52" s="220" t="s">
        <v>123</v>
      </c>
      <c r="B52" s="5" t="s">
        <v>148</v>
      </c>
      <c r="C52" s="652"/>
    </row>
    <row r="53" spans="1:3" s="229" customFormat="1" ht="12" customHeight="1" thickBot="1" x14ac:dyDescent="0.25">
      <c r="A53" s="76" t="s">
        <v>20</v>
      </c>
      <c r="B53" s="56" t="s">
        <v>361</v>
      </c>
      <c r="C53" s="650">
        <f>SUM(C54:C56)</f>
        <v>1117500</v>
      </c>
    </row>
    <row r="54" spans="1:3" ht="12" customHeight="1" x14ac:dyDescent="0.2">
      <c r="A54" s="220" t="s">
        <v>103</v>
      </c>
      <c r="B54" s="6" t="s">
        <v>170</v>
      </c>
      <c r="C54" s="658">
        <v>800000</v>
      </c>
    </row>
    <row r="55" spans="1:3" ht="12" customHeight="1" x14ac:dyDescent="0.2">
      <c r="A55" s="220" t="s">
        <v>104</v>
      </c>
      <c r="B55" s="5" t="s">
        <v>150</v>
      </c>
      <c r="C55" s="652">
        <v>317500</v>
      </c>
    </row>
    <row r="56" spans="1:3" ht="12" customHeight="1" x14ac:dyDescent="0.2">
      <c r="A56" s="220" t="s">
        <v>105</v>
      </c>
      <c r="B56" s="5" t="s">
        <v>58</v>
      </c>
      <c r="C56" s="652"/>
    </row>
    <row r="57" spans="1:3" ht="15" customHeight="1" thickBot="1" x14ac:dyDescent="0.25">
      <c r="A57" s="220" t="s">
        <v>106</v>
      </c>
      <c r="B57" s="5" t="s">
        <v>514</v>
      </c>
      <c r="C57" s="652"/>
    </row>
    <row r="58" spans="1:3" ht="13.5" thickBot="1" x14ac:dyDescent="0.25">
      <c r="A58" s="76" t="s">
        <v>21</v>
      </c>
      <c r="B58" s="56" t="s">
        <v>13</v>
      </c>
      <c r="C58" s="657"/>
    </row>
    <row r="59" spans="1:3" ht="15" customHeight="1" thickBot="1" x14ac:dyDescent="0.25">
      <c r="A59" s="76" t="s">
        <v>22</v>
      </c>
      <c r="B59" s="99" t="s">
        <v>515</v>
      </c>
      <c r="C59" s="665">
        <f>+C47+C53+C58</f>
        <v>345397518</v>
      </c>
    </row>
    <row r="60" spans="1:3" ht="14.25" customHeight="1" thickBot="1" x14ac:dyDescent="0.25">
      <c r="C60" s="666"/>
    </row>
    <row r="61" spans="1:3" ht="13.5" thickBot="1" x14ac:dyDescent="0.25">
      <c r="A61" s="101" t="s">
        <v>508</v>
      </c>
      <c r="B61" s="102"/>
      <c r="C61" s="667">
        <v>54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B17" sqref="B17"/>
    </sheetView>
  </sheetViews>
  <sheetFormatPr defaultRowHeight="12.75" x14ac:dyDescent="0.2"/>
  <cols>
    <col min="1" max="1" width="13.83203125" style="982" customWidth="1"/>
    <col min="2" max="2" width="79.1640625" style="982" customWidth="1"/>
    <col min="3" max="3" width="25" style="982" customWidth="1"/>
    <col min="4" max="16384" width="9.33203125" style="982"/>
  </cols>
  <sheetData>
    <row r="1" spans="1:3" x14ac:dyDescent="0.2">
      <c r="A1" s="1468" t="str">
        <f>CONCATENATE("9.3.2. melléklet"," ",ALAPADATOK!A7," ",ALAPADATOK!B7," ",ALAPADATOK!C7," ",ALAPADATOK!D7," ",ALAPADATOK!E7," ",ALAPADATOK!F7," ",ALAPADATOK!G7," ",ALAPADATOK!H7)</f>
        <v>9.3.2. melléklet a 2 / 2021. ( II.15. ) önkormányzati rendelethez</v>
      </c>
      <c r="B1" s="1468"/>
      <c r="C1" s="1468"/>
    </row>
    <row r="2" spans="1:3" ht="16.5" thickBot="1" x14ac:dyDescent="0.25">
      <c r="A2" s="79"/>
      <c r="B2" s="81"/>
      <c r="C2" s="1154"/>
    </row>
    <row r="3" spans="1:3" ht="33.75" customHeight="1" x14ac:dyDescent="0.2">
      <c r="A3" s="182" t="s">
        <v>164</v>
      </c>
      <c r="B3" s="161" t="s">
        <v>401</v>
      </c>
      <c r="C3" s="174" t="s">
        <v>61</v>
      </c>
    </row>
    <row r="4" spans="1:3" ht="24.75" thickBot="1" x14ac:dyDescent="0.25">
      <c r="A4" s="218" t="s">
        <v>163</v>
      </c>
      <c r="B4" s="162" t="s">
        <v>363</v>
      </c>
      <c r="C4" s="175" t="s">
        <v>60</v>
      </c>
    </row>
    <row r="5" spans="1:3" ht="14.25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ht="13.5" thickBot="1" x14ac:dyDescent="0.25">
      <c r="A7" s="73" t="s">
        <v>434</v>
      </c>
      <c r="B7" s="74" t="s">
        <v>435</v>
      </c>
      <c r="C7" s="75" t="s">
        <v>436</v>
      </c>
    </row>
    <row r="8" spans="1:3" ht="13.5" thickBot="1" x14ac:dyDescent="0.25">
      <c r="A8" s="87"/>
      <c r="B8" s="88" t="s">
        <v>56</v>
      </c>
      <c r="C8" s="89"/>
    </row>
    <row r="9" spans="1:3" ht="13.5" thickBot="1" x14ac:dyDescent="0.25">
      <c r="A9" s="73" t="s">
        <v>19</v>
      </c>
      <c r="B9" s="90" t="s">
        <v>510</v>
      </c>
      <c r="C9" s="1022">
        <f>SUM(C10:C20)</f>
        <v>0</v>
      </c>
    </row>
    <row r="10" spans="1:3" x14ac:dyDescent="0.2">
      <c r="A10" s="219" t="s">
        <v>97</v>
      </c>
      <c r="B10" s="7" t="s">
        <v>220</v>
      </c>
      <c r="C10" s="166"/>
    </row>
    <row r="11" spans="1:3" x14ac:dyDescent="0.2">
      <c r="A11" s="220" t="s">
        <v>98</v>
      </c>
      <c r="B11" s="5" t="s">
        <v>221</v>
      </c>
      <c r="C11" s="1020"/>
    </row>
    <row r="12" spans="1:3" x14ac:dyDescent="0.2">
      <c r="A12" s="220" t="s">
        <v>99</v>
      </c>
      <c r="B12" s="5" t="s">
        <v>222</v>
      </c>
      <c r="C12" s="1020"/>
    </row>
    <row r="13" spans="1:3" x14ac:dyDescent="0.2">
      <c r="A13" s="220" t="s">
        <v>100</v>
      </c>
      <c r="B13" s="5" t="s">
        <v>223</v>
      </c>
      <c r="C13" s="1020"/>
    </row>
    <row r="14" spans="1:3" x14ac:dyDescent="0.2">
      <c r="A14" s="220" t="s">
        <v>123</v>
      </c>
      <c r="B14" s="5" t="s">
        <v>224</v>
      </c>
      <c r="C14" s="1020"/>
    </row>
    <row r="15" spans="1:3" x14ac:dyDescent="0.2">
      <c r="A15" s="220" t="s">
        <v>101</v>
      </c>
      <c r="B15" s="5" t="s">
        <v>345</v>
      </c>
      <c r="C15" s="1020"/>
    </row>
    <row r="16" spans="1:3" x14ac:dyDescent="0.2">
      <c r="A16" s="220" t="s">
        <v>102</v>
      </c>
      <c r="B16" s="4" t="s">
        <v>346</v>
      </c>
      <c r="C16" s="1020"/>
    </row>
    <row r="17" spans="1:3" x14ac:dyDescent="0.2">
      <c r="A17" s="220" t="s">
        <v>112</v>
      </c>
      <c r="B17" s="5" t="s">
        <v>227</v>
      </c>
      <c r="C17" s="131"/>
    </row>
    <row r="18" spans="1:3" x14ac:dyDescent="0.2">
      <c r="A18" s="220" t="s">
        <v>113</v>
      </c>
      <c r="B18" s="5" t="s">
        <v>228</v>
      </c>
      <c r="C18" s="1020"/>
    </row>
    <row r="19" spans="1:3" x14ac:dyDescent="0.2">
      <c r="A19" s="220" t="s">
        <v>114</v>
      </c>
      <c r="B19" s="5" t="s">
        <v>440</v>
      </c>
      <c r="C19" s="473"/>
    </row>
    <row r="20" spans="1:3" ht="13.5" thickBot="1" x14ac:dyDescent="0.25">
      <c r="A20" s="220" t="s">
        <v>115</v>
      </c>
      <c r="B20" s="4" t="s">
        <v>229</v>
      </c>
      <c r="C20" s="473"/>
    </row>
    <row r="21" spans="1:3" ht="13.5" thickBot="1" x14ac:dyDescent="0.25">
      <c r="A21" s="73" t="s">
        <v>20</v>
      </c>
      <c r="B21" s="90" t="s">
        <v>347</v>
      </c>
      <c r="C21" s="1022">
        <f>SUM(C22:C24)</f>
        <v>0</v>
      </c>
    </row>
    <row r="22" spans="1:3" x14ac:dyDescent="0.2">
      <c r="A22" s="220" t="s">
        <v>103</v>
      </c>
      <c r="B22" s="6" t="s">
        <v>198</v>
      </c>
      <c r="C22" s="128"/>
    </row>
    <row r="23" spans="1:3" x14ac:dyDescent="0.2">
      <c r="A23" s="220" t="s">
        <v>104</v>
      </c>
      <c r="B23" s="5" t="s">
        <v>348</v>
      </c>
      <c r="C23" s="1020"/>
    </row>
    <row r="24" spans="1:3" x14ac:dyDescent="0.2">
      <c r="A24" s="220" t="s">
        <v>105</v>
      </c>
      <c r="B24" s="5" t="s">
        <v>349</v>
      </c>
      <c r="C24" s="1025"/>
    </row>
    <row r="25" spans="1:3" ht="13.5" thickBot="1" x14ac:dyDescent="0.25">
      <c r="A25" s="220" t="s">
        <v>106</v>
      </c>
      <c r="B25" s="5" t="s">
        <v>511</v>
      </c>
      <c r="C25" s="1020"/>
    </row>
    <row r="26" spans="1:3" ht="13.5" thickBot="1" x14ac:dyDescent="0.25">
      <c r="A26" s="76" t="s">
        <v>21</v>
      </c>
      <c r="B26" s="56" t="s">
        <v>137</v>
      </c>
      <c r="C26" s="151"/>
    </row>
    <row r="27" spans="1:3" ht="13.5" thickBot="1" x14ac:dyDescent="0.25">
      <c r="A27" s="76" t="s">
        <v>22</v>
      </c>
      <c r="B27" s="56" t="s">
        <v>512</v>
      </c>
      <c r="C27" s="1022">
        <f>+C28+C29+C30</f>
        <v>0</v>
      </c>
    </row>
    <row r="28" spans="1:3" x14ac:dyDescent="0.2">
      <c r="A28" s="221" t="s">
        <v>208</v>
      </c>
      <c r="B28" s="222" t="s">
        <v>203</v>
      </c>
      <c r="C28" s="1019"/>
    </row>
    <row r="29" spans="1:3" x14ac:dyDescent="0.2">
      <c r="A29" s="221" t="s">
        <v>211</v>
      </c>
      <c r="B29" s="222" t="s">
        <v>348</v>
      </c>
      <c r="C29" s="128"/>
    </row>
    <row r="30" spans="1:3" x14ac:dyDescent="0.2">
      <c r="A30" s="221" t="s">
        <v>212</v>
      </c>
      <c r="B30" s="223" t="s">
        <v>350</v>
      </c>
      <c r="C30" s="128"/>
    </row>
    <row r="31" spans="1:3" ht="13.5" thickBot="1" x14ac:dyDescent="0.25">
      <c r="A31" s="220" t="s">
        <v>213</v>
      </c>
      <c r="B31" s="59" t="s">
        <v>513</v>
      </c>
      <c r="C31" s="1021"/>
    </row>
    <row r="32" spans="1:3" ht="13.5" thickBot="1" x14ac:dyDescent="0.25">
      <c r="A32" s="76" t="s">
        <v>23</v>
      </c>
      <c r="B32" s="56" t="s">
        <v>351</v>
      </c>
      <c r="C32" s="1022">
        <f>+C33+C34+C35</f>
        <v>0</v>
      </c>
    </row>
    <row r="33" spans="1:3" x14ac:dyDescent="0.2">
      <c r="A33" s="221" t="s">
        <v>90</v>
      </c>
      <c r="B33" s="222" t="s">
        <v>234</v>
      </c>
      <c r="C33" s="1019"/>
    </row>
    <row r="34" spans="1:3" x14ac:dyDescent="0.2">
      <c r="A34" s="221" t="s">
        <v>91</v>
      </c>
      <c r="B34" s="223" t="s">
        <v>235</v>
      </c>
      <c r="C34" s="131"/>
    </row>
    <row r="35" spans="1:3" ht="13.5" thickBot="1" x14ac:dyDescent="0.25">
      <c r="A35" s="220" t="s">
        <v>92</v>
      </c>
      <c r="B35" s="59" t="s">
        <v>236</v>
      </c>
      <c r="C35" s="1021"/>
    </row>
    <row r="36" spans="1:3" ht="13.5" thickBot="1" x14ac:dyDescent="0.25">
      <c r="A36" s="76" t="s">
        <v>24</v>
      </c>
      <c r="B36" s="56" t="s">
        <v>322</v>
      </c>
      <c r="C36" s="151"/>
    </row>
    <row r="37" spans="1:3" ht="13.5" thickBot="1" x14ac:dyDescent="0.25">
      <c r="A37" s="76" t="s">
        <v>25</v>
      </c>
      <c r="B37" s="56" t="s">
        <v>352</v>
      </c>
      <c r="C37" s="168"/>
    </row>
    <row r="38" spans="1:3" ht="13.5" thickBot="1" x14ac:dyDescent="0.25">
      <c r="A38" s="73" t="s">
        <v>26</v>
      </c>
      <c r="B38" s="56" t="s">
        <v>353</v>
      </c>
      <c r="C38" s="1023">
        <f>+C9+C21+C26+C27+C32+C36+C37</f>
        <v>0</v>
      </c>
    </row>
    <row r="39" spans="1:3" ht="13.5" thickBot="1" x14ac:dyDescent="0.25">
      <c r="A39" s="1152" t="s">
        <v>27</v>
      </c>
      <c r="B39" s="56" t="s">
        <v>354</v>
      </c>
      <c r="C39" s="1023">
        <f>+C40+C41+C42</f>
        <v>0</v>
      </c>
    </row>
    <row r="40" spans="1:3" x14ac:dyDescent="0.2">
      <c r="A40" s="221" t="s">
        <v>355</v>
      </c>
      <c r="B40" s="222" t="s">
        <v>179</v>
      </c>
      <c r="C40" s="1019"/>
    </row>
    <row r="41" spans="1:3" x14ac:dyDescent="0.2">
      <c r="A41" s="221" t="s">
        <v>356</v>
      </c>
      <c r="B41" s="223" t="s">
        <v>7</v>
      </c>
      <c r="C41" s="131"/>
    </row>
    <row r="42" spans="1:3" ht="13.5" thickBot="1" x14ac:dyDescent="0.25">
      <c r="A42" s="220" t="s">
        <v>357</v>
      </c>
      <c r="B42" s="59" t="s">
        <v>358</v>
      </c>
      <c r="C42" s="1021"/>
    </row>
    <row r="43" spans="1:3" ht="13.5" thickBot="1" x14ac:dyDescent="0.25">
      <c r="A43" s="1152" t="s">
        <v>28</v>
      </c>
      <c r="B43" s="1153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ht="13.5" thickBot="1" x14ac:dyDescent="0.25">
      <c r="A46" s="97"/>
      <c r="B46" s="98" t="s">
        <v>57</v>
      </c>
      <c r="C46" s="171"/>
    </row>
    <row r="47" spans="1:3" ht="13.5" thickBot="1" x14ac:dyDescent="0.25">
      <c r="A47" s="76" t="s">
        <v>19</v>
      </c>
      <c r="B47" s="56" t="s">
        <v>360</v>
      </c>
      <c r="C47" s="1022">
        <f>SUM(C48:C52)</f>
        <v>0</v>
      </c>
    </row>
    <row r="48" spans="1:3" x14ac:dyDescent="0.2">
      <c r="A48" s="220" t="s">
        <v>97</v>
      </c>
      <c r="B48" s="6" t="s">
        <v>49</v>
      </c>
      <c r="C48" s="1024"/>
    </row>
    <row r="49" spans="1:3" x14ac:dyDescent="0.2">
      <c r="A49" s="220" t="s">
        <v>98</v>
      </c>
      <c r="B49" s="5" t="s">
        <v>146</v>
      </c>
      <c r="C49" s="1025"/>
    </row>
    <row r="50" spans="1:3" x14ac:dyDescent="0.2">
      <c r="A50" s="220" t="s">
        <v>99</v>
      </c>
      <c r="B50" s="5" t="s">
        <v>122</v>
      </c>
      <c r="C50" s="652"/>
    </row>
    <row r="51" spans="1:3" x14ac:dyDescent="0.2">
      <c r="A51" s="220" t="s">
        <v>100</v>
      </c>
      <c r="B51" s="5" t="s">
        <v>147</v>
      </c>
      <c r="C51" s="1020"/>
    </row>
    <row r="52" spans="1:3" ht="13.5" thickBot="1" x14ac:dyDescent="0.25">
      <c r="A52" s="220" t="s">
        <v>123</v>
      </c>
      <c r="B52" s="5" t="s">
        <v>148</v>
      </c>
      <c r="C52" s="1020"/>
    </row>
    <row r="53" spans="1:3" ht="13.5" thickBot="1" x14ac:dyDescent="0.25">
      <c r="A53" s="76" t="s">
        <v>20</v>
      </c>
      <c r="B53" s="56" t="s">
        <v>361</v>
      </c>
      <c r="C53" s="1022">
        <f>SUM(C54:C56)</f>
        <v>0</v>
      </c>
    </row>
    <row r="54" spans="1:3" x14ac:dyDescent="0.2">
      <c r="A54" s="220" t="s">
        <v>103</v>
      </c>
      <c r="B54" s="6" t="s">
        <v>170</v>
      </c>
      <c r="C54" s="1024"/>
    </row>
    <row r="55" spans="1:3" x14ac:dyDescent="0.2">
      <c r="A55" s="220" t="s">
        <v>104</v>
      </c>
      <c r="B55" s="5" t="s">
        <v>150</v>
      </c>
      <c r="C55" s="1020"/>
    </row>
    <row r="56" spans="1:3" x14ac:dyDescent="0.2">
      <c r="A56" s="220" t="s">
        <v>105</v>
      </c>
      <c r="B56" s="5" t="s">
        <v>58</v>
      </c>
      <c r="C56" s="1020"/>
    </row>
    <row r="57" spans="1:3" ht="13.5" thickBot="1" x14ac:dyDescent="0.25">
      <c r="A57" s="220" t="s">
        <v>106</v>
      </c>
      <c r="B57" s="5" t="s">
        <v>514</v>
      </c>
      <c r="C57" s="1020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3.5" thickBot="1" x14ac:dyDescent="0.25">
      <c r="A60" s="100"/>
      <c r="B60" s="908"/>
      <c r="C60" s="356"/>
    </row>
    <row r="61" spans="1:3" ht="13.5" thickBot="1" x14ac:dyDescent="0.25">
      <c r="A61" s="101" t="s">
        <v>508</v>
      </c>
      <c r="B61" s="102"/>
      <c r="C61" s="47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B16" sqref="B16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4" width="0" style="908" hidden="1" customWidth="1"/>
    <col min="5" max="5" width="11.83203125" style="931" hidden="1" customWidth="1"/>
    <col min="6" max="6" width="12.6640625" style="931" hidden="1" customWidth="1"/>
    <col min="7" max="7" width="0" style="908" hidden="1" customWidth="1"/>
    <col min="8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6" ht="12.75" customHeight="1" x14ac:dyDescent="0.2">
      <c r="A1" s="1468" t="str">
        <f>CONCATENATE("9.4. melléklet"," ",ALAPADATOK!A7," ",ALAPADATOK!B7," ",ALAPADATOK!C7," ",ALAPADATOK!D7," ",ALAPADATOK!E7," ",ALAPADATOK!F7," ",ALAPADATOK!G7," ",ALAPADATOK!H7)</f>
        <v>9.4. melléklet a 2 / 2021. ( II.15. ) önkormányzati rendelethez</v>
      </c>
      <c r="B1" s="1468"/>
      <c r="C1" s="1468"/>
    </row>
    <row r="2" spans="1:6" s="80" customFormat="1" ht="21" customHeight="1" thickBot="1" x14ac:dyDescent="0.25">
      <c r="A2" s="79"/>
      <c r="B2" s="81"/>
      <c r="C2" s="1151"/>
      <c r="E2" s="931"/>
      <c r="F2" s="931"/>
    </row>
    <row r="3" spans="1:6" s="225" customFormat="1" ht="36" customHeight="1" x14ac:dyDescent="0.2">
      <c r="A3" s="182" t="s">
        <v>164</v>
      </c>
      <c r="B3" s="161" t="s">
        <v>538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50">
        <f>SUM(C10:C20)</f>
        <v>13507834</v>
      </c>
      <c r="E9" s="564">
        <f>'9.4.1. sz. mell EKIK'!C9+'9.4.2. sz. mell EKIK'!C9</f>
        <v>13507834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1"/>
      <c r="E10" s="564">
        <f>'9.4.1. sz. mell EKIK'!C10+'9.4.2. sz. mell EKIK'!C10</f>
        <v>0</v>
      </c>
      <c r="F10" s="564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52">
        <v>11296835</v>
      </c>
      <c r="E11" s="564">
        <f>'9.4.1. sz. mell EKIK'!C11+'9.4.2. sz. mell EKIK'!C11</f>
        <v>11296835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52">
        <v>5000</v>
      </c>
      <c r="E12" s="564">
        <f>'9.4.1. sz. mell EKIK'!C12+'9.4.2. sz. mell EKIK'!C12</f>
        <v>5000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52"/>
      <c r="E13" s="564">
        <f>'9.4.1. sz. mell EKIK'!C13+'9.4.2. sz. mell EKIK'!C13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52"/>
      <c r="E14" s="564">
        <f>'9.4.1. sz. mell EKIK'!C14+'9.4.2. sz. mell EKIK'!C14</f>
        <v>0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52">
        <v>1525999</v>
      </c>
      <c r="E15" s="564">
        <f>'9.4.1. sz. mell EKIK'!C15+'9.4.2. sz. mell EKIK'!C15</f>
        <v>1525999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52">
        <v>680000</v>
      </c>
      <c r="E16" s="564">
        <f>'9.4.1. sz. mell EKIK'!C16+'9.4.2. sz. mell EKIK'!C16</f>
        <v>680000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3"/>
      <c r="E17" s="564">
        <f>'9.4.1. sz. mell EKIK'!C17+'9.4.2. sz. mell EKIK'!C17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2"/>
      <c r="E18" s="564">
        <f>'9.4.1. sz. mell EKIK'!C18+'9.4.2. sz. mell EKIK'!C18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4"/>
      <c r="E19" s="564">
        <f>'9.4.1. sz. mell EKIK'!C19+'9.4.2. sz. mell EKIK'!C19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4"/>
      <c r="E20" s="564">
        <f>'9.4.1. sz. mell EKIK'!C20+'9.4.2. sz. mell EKIK'!C20</f>
        <v>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50">
        <f>SUM(C22:C24)</f>
        <v>9618799</v>
      </c>
      <c r="E21" s="564">
        <f>'9.4.1. sz. mell EKIK'!C21+'9.4.2. sz. mell EKIK'!C21</f>
        <v>9618799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5"/>
      <c r="E22" s="564">
        <f>'9.4.1. sz. mell EKIK'!C22+'9.4.2. sz. mell EKIK'!C22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2"/>
      <c r="E23" s="564">
        <f>'9.4.1. sz. mell EKIK'!C23+'9.4.2. sz. mell EKIK'!C23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52">
        <v>9618799</v>
      </c>
      <c r="E24" s="564">
        <f>'9.4.1. sz. mell EKIK'!C24+'9.4.2. sz. mell EKIK'!C24</f>
        <v>9618799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2">
        <v>9618799</v>
      </c>
      <c r="E25" s="564">
        <f>'9.4.1. sz. mell EKIK'!C25+'9.4.2. sz. mell EKIK'!C25</f>
        <v>9618799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7"/>
      <c r="E26" s="564">
        <f>'9.4.1. sz. mell EKIK'!C26+'9.4.2. sz. mell EKIK'!C26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50">
        <f>+C28+C29+C30</f>
        <v>51850900</v>
      </c>
      <c r="E27" s="564">
        <f>'9.4.1. sz. mell EKIK'!C27+'9.4.2. sz. mell EKIK'!C27</f>
        <v>51850900</v>
      </c>
      <c r="F27" s="564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58"/>
      <c r="E28" s="564">
        <f>'9.4.1. sz. mell EKIK'!C28+'9.4.2. sz. mell EKIK'!C28</f>
        <v>0</v>
      </c>
      <c r="F28" s="564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52"/>
      <c r="E29" s="564">
        <f>'9.4.1. sz. mell EKIK'!C29+'9.4.2. sz. mell EKIK'!C29</f>
        <v>0</v>
      </c>
      <c r="F29" s="564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52">
        <v>51850900</v>
      </c>
      <c r="E30" s="564">
        <f>'9.4.1. sz. mell EKIK'!C30+'9.4.2. sz. mell EKIK'!C30</f>
        <v>51850900</v>
      </c>
      <c r="F30" s="564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59">
        <v>51850900</v>
      </c>
      <c r="E31" s="564">
        <f>'9.4.1. sz. mell EKIK'!C31+'9.4.2. sz. mell EKIK'!C31</f>
        <v>51850900</v>
      </c>
      <c r="F31" s="564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  <c r="E32" s="564">
        <f>'9.4.1. sz. mell EKIK'!C32+'9.4.2. sz. mell EKIK'!C32</f>
        <v>0</v>
      </c>
      <c r="F32" s="564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58"/>
      <c r="E33" s="564">
        <f>'9.4.1. sz. mell EKIK'!C33+'9.4.2. sz. mell EKIK'!C33</f>
        <v>0</v>
      </c>
      <c r="F33" s="564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53"/>
      <c r="E34" s="564">
        <f>'9.4.1. sz. mell EKIK'!C34+'9.4.2. sz. mell EKIK'!C34</f>
        <v>0</v>
      </c>
      <c r="F34" s="564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59"/>
      <c r="E35" s="564">
        <f>'9.4.1. sz. mell EKIK'!C35+'9.4.2. sz. mell EKIK'!C35</f>
        <v>0</v>
      </c>
      <c r="F35" s="564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57"/>
      <c r="E36" s="564">
        <f>'9.4.1. sz. mell EKIK'!C36+'9.4.2. sz. mell EKIK'!C36</f>
        <v>0</v>
      </c>
      <c r="F36" s="564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660"/>
      <c r="E37" s="564">
        <f>'9.4.1. sz. mell EKIK'!C37+'9.4.2. sz. mell EKIK'!C37</f>
        <v>0</v>
      </c>
      <c r="F37" s="564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74977533</v>
      </c>
      <c r="E38" s="564">
        <f>'9.4.1. sz. mell EKIK'!C38+'9.4.2. sz. mell EKIK'!C38</f>
        <v>74977533</v>
      </c>
      <c r="F38" s="564">
        <f t="shared" si="0"/>
        <v>0</v>
      </c>
    </row>
    <row r="39" spans="1:6" s="176" customFormat="1" ht="12" customHeight="1" thickBot="1" x14ac:dyDescent="0.25">
      <c r="A39" s="1152" t="s">
        <v>27</v>
      </c>
      <c r="B39" s="56" t="s">
        <v>354</v>
      </c>
      <c r="C39" s="661">
        <f>+C40+C41+C42</f>
        <v>111612800</v>
      </c>
      <c r="E39" s="564">
        <f>'9.4.1. sz. mell EKIK'!C39+'9.4.2. sz. mell EKIK'!C39</f>
        <v>111612800</v>
      </c>
      <c r="F39" s="564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58">
        <v>284096</v>
      </c>
      <c r="E40" s="564">
        <f>'9.4.1. sz. mell EKIK'!C40+'9.4.2. sz. mell EKIK'!C40</f>
        <v>284096</v>
      </c>
      <c r="F40" s="564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53"/>
      <c r="E41" s="564">
        <f>'9.4.1. sz. mell EKIK'!C41+'9.4.2. sz. mell EKIK'!C41</f>
        <v>0</v>
      </c>
      <c r="F41" s="564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659">
        <v>111328704</v>
      </c>
      <c r="E42" s="564">
        <f>'9.4.1. sz. mell EKIK'!C42+'9.4.2. sz. mell EKIK'!C42</f>
        <v>111328704</v>
      </c>
      <c r="F42" s="564">
        <f t="shared" si="0"/>
        <v>0</v>
      </c>
    </row>
    <row r="43" spans="1:6" s="228" customFormat="1" ht="15" customHeight="1" thickBot="1" x14ac:dyDescent="0.25">
      <c r="A43" s="1152" t="s">
        <v>28</v>
      </c>
      <c r="B43" s="1153" t="s">
        <v>359</v>
      </c>
      <c r="C43" s="662">
        <f>+C38+C39</f>
        <v>186590333</v>
      </c>
      <c r="E43" s="564">
        <f>'9.4.1. sz. mell EKIK'!C43+'9.4.2. sz. mell EKIK'!C43</f>
        <v>186590333</v>
      </c>
      <c r="F43" s="564">
        <f t="shared" si="0"/>
        <v>0</v>
      </c>
    </row>
    <row r="44" spans="1:6" x14ac:dyDescent="0.2">
      <c r="A44" s="93"/>
      <c r="B44" s="94"/>
      <c r="C44" s="663"/>
      <c r="E44" s="564">
        <f>'9.4.1. sz. mell EKIK'!C44+'9.4.2. sz. mell EKIK'!C44</f>
        <v>0</v>
      </c>
      <c r="F44" s="564">
        <f t="shared" si="0"/>
        <v>0</v>
      </c>
    </row>
    <row r="45" spans="1:6" s="227" customFormat="1" ht="16.5" customHeight="1" thickBot="1" x14ac:dyDescent="0.25">
      <c r="A45" s="95"/>
      <c r="B45" s="96"/>
      <c r="C45" s="664"/>
      <c r="E45" s="564">
        <f>'9.4.1. sz. mell EKIK'!C45+'9.4.2. sz. mell EKIK'!C45</f>
        <v>0</v>
      </c>
      <c r="F45" s="564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62"/>
      <c r="E46" s="564">
        <f>'9.4.1. sz. mell EKIK'!C46+'9.4.2. sz. mell EKIK'!C46</f>
        <v>0</v>
      </c>
      <c r="F46" s="564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50">
        <f>SUM(C48:C52)</f>
        <v>127017804</v>
      </c>
      <c r="E47" s="564">
        <f>'9.4.1. sz. mell EKIK'!C47+'9.4.2. sz. mell EKIK'!C47</f>
        <v>127017804</v>
      </c>
      <c r="F47" s="564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658">
        <f>56715808</f>
        <v>56715808</v>
      </c>
      <c r="E48" s="564">
        <f>'9.4.1. sz. mell EKIK'!C48+'9.4.2. sz. mell EKIK'!C48</f>
        <v>56715808</v>
      </c>
      <c r="F48" s="564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652">
        <f>9106816</f>
        <v>9106816</v>
      </c>
      <c r="E49" s="564">
        <f>'9.4.1. sz. mell EKIK'!C49+'9.4.2. sz. mell EKIK'!C49</f>
        <v>9106816</v>
      </c>
      <c r="F49" s="564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652">
        <v>61195180</v>
      </c>
      <c r="E50" s="564">
        <f>'9.4.1. sz. mell EKIK'!C50+'9.4.2. sz. mell EKIK'!C50</f>
        <v>61195180</v>
      </c>
      <c r="F50" s="564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52"/>
      <c r="E51" s="564">
        <f>'9.4.1. sz. mell EKIK'!C51+'9.4.2. sz. mell EKIK'!C51</f>
        <v>0</v>
      </c>
      <c r="F51" s="564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52"/>
      <c r="E52" s="564">
        <f>'9.4.1. sz. mell EKIK'!C52+'9.4.2. sz. mell EKIK'!C52</f>
        <v>0</v>
      </c>
      <c r="F52" s="564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50">
        <f>SUM(C54:C56)</f>
        <v>59572529</v>
      </c>
      <c r="E53" s="564">
        <f>'9.4.1. sz. mell EKIK'!C53+'9.4.2. sz. mell EKIK'!C53</f>
        <v>59572529</v>
      </c>
      <c r="F53" s="564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658">
        <v>58071807</v>
      </c>
      <c r="E54" s="564">
        <f>'9.4.1. sz. mell EKIK'!C54+'9.4.2. sz. mell EKIK'!C54</f>
        <v>58071807</v>
      </c>
      <c r="F54" s="564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52">
        <v>1500722</v>
      </c>
      <c r="E55" s="564">
        <f>'9.4.1. sz. mell EKIK'!C55+'9.4.2. sz. mell EKIK'!C55</f>
        <v>1500722</v>
      </c>
      <c r="F55" s="564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52"/>
      <c r="E56" s="564">
        <f>'9.4.1. sz. mell EKIK'!C56+'9.4.2. sz. mell EKIK'!C56</f>
        <v>0</v>
      </c>
      <c r="F56" s="564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52"/>
      <c r="E57" s="564">
        <f>'9.4.1. sz. mell EKIK'!C57+'9.4.2. sz. mell EKIK'!C57</f>
        <v>0</v>
      </c>
      <c r="F57" s="564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57"/>
      <c r="E58" s="564">
        <f>'9.4.1. sz. mell EKIK'!C58+'9.4.2. sz. mell EKIK'!C58</f>
        <v>0</v>
      </c>
      <c r="F58" s="564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65">
        <f>+C47+C53+C58</f>
        <v>186590333</v>
      </c>
      <c r="E59" s="564">
        <f>'9.4.1. sz. mell EKIK'!C59+'9.4.2. sz. mell EKIK'!C59</f>
        <v>186590333</v>
      </c>
      <c r="F59" s="564">
        <f t="shared" si="0"/>
        <v>0</v>
      </c>
    </row>
    <row r="60" spans="1:6" ht="14.25" customHeight="1" thickBot="1" x14ac:dyDescent="0.25">
      <c r="C60" s="666"/>
      <c r="E60" s="564">
        <f>'9.4.1. sz. mell EKIK'!C60+'9.4.2. sz. mell EKIK'!C60</f>
        <v>0</v>
      </c>
      <c r="F60" s="564">
        <f t="shared" si="0"/>
        <v>0</v>
      </c>
    </row>
    <row r="61" spans="1:6" x14ac:dyDescent="0.2">
      <c r="A61" s="770" t="s">
        <v>508</v>
      </c>
      <c r="B61" s="771"/>
      <c r="C61" s="772">
        <v>19.75</v>
      </c>
      <c r="E61" s="564">
        <f>'9.4.1. sz. mell EKIK'!C61+'9.4.2. sz. mell EKIK'!C61</f>
        <v>19.75</v>
      </c>
      <c r="F61" s="564">
        <f t="shared" si="0"/>
        <v>0</v>
      </c>
    </row>
    <row r="62" spans="1:6" ht="13.5" thickBot="1" x14ac:dyDescent="0.25">
      <c r="A62" s="1469" t="s">
        <v>1021</v>
      </c>
      <c r="B62" s="1470"/>
      <c r="C62" s="773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C17" sqref="C17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3" ht="12.75" customHeight="1" x14ac:dyDescent="0.2">
      <c r="A1" s="1468" t="str">
        <f>CONCATENATE("9.4.1. melléklet"," ",ALAPADATOK!A7," ",ALAPADATOK!B7," ",ALAPADATOK!C7," ",ALAPADATOK!D7," ",ALAPADATOK!E7," ",ALAPADATOK!F7," ",ALAPADATOK!G7," ",ALAPADATOK!H7)</f>
        <v>9.4.1.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1151"/>
    </row>
    <row r="3" spans="1:3" s="225" customFormat="1" ht="33" customHeight="1" x14ac:dyDescent="0.2">
      <c r="A3" s="182" t="s">
        <v>164</v>
      </c>
      <c r="B3" s="161" t="s">
        <v>538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60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50">
        <f>SUM(C10:C20)</f>
        <v>12352850</v>
      </c>
    </row>
    <row r="10" spans="1:3" s="176" customFormat="1" ht="12" customHeight="1" x14ac:dyDescent="0.2">
      <c r="A10" s="219" t="s">
        <v>97</v>
      </c>
      <c r="B10" s="7" t="s">
        <v>220</v>
      </c>
      <c r="C10" s="651"/>
    </row>
    <row r="11" spans="1:3" s="176" customFormat="1" ht="12" customHeight="1" x14ac:dyDescent="0.2">
      <c r="A11" s="220" t="s">
        <v>98</v>
      </c>
      <c r="B11" s="5" t="s">
        <v>221</v>
      </c>
      <c r="C11" s="652">
        <v>10387400</v>
      </c>
    </row>
    <row r="12" spans="1:3" s="176" customFormat="1" ht="12" customHeight="1" x14ac:dyDescent="0.2">
      <c r="A12" s="220" t="s">
        <v>99</v>
      </c>
      <c r="B12" s="5" t="s">
        <v>222</v>
      </c>
      <c r="C12" s="652">
        <v>5000</v>
      </c>
    </row>
    <row r="13" spans="1:3" s="176" customFormat="1" ht="12" customHeight="1" x14ac:dyDescent="0.2">
      <c r="A13" s="220" t="s">
        <v>100</v>
      </c>
      <c r="B13" s="5" t="s">
        <v>223</v>
      </c>
      <c r="C13" s="652"/>
    </row>
    <row r="14" spans="1:3" s="176" customFormat="1" ht="12" customHeight="1" x14ac:dyDescent="0.2">
      <c r="A14" s="220" t="s">
        <v>123</v>
      </c>
      <c r="B14" s="5" t="s">
        <v>224</v>
      </c>
      <c r="C14" s="652"/>
    </row>
    <row r="15" spans="1:3" s="176" customFormat="1" ht="12" customHeight="1" x14ac:dyDescent="0.2">
      <c r="A15" s="220" t="s">
        <v>101</v>
      </c>
      <c r="B15" s="5" t="s">
        <v>345</v>
      </c>
      <c r="C15" s="652">
        <v>1280450</v>
      </c>
    </row>
    <row r="16" spans="1:3" s="176" customFormat="1" ht="12" customHeight="1" x14ac:dyDescent="0.2">
      <c r="A16" s="220" t="s">
        <v>102</v>
      </c>
      <c r="B16" s="4" t="s">
        <v>346</v>
      </c>
      <c r="C16" s="652">
        <v>680000</v>
      </c>
    </row>
    <row r="17" spans="1:3" s="176" customFormat="1" ht="12" customHeight="1" x14ac:dyDescent="0.2">
      <c r="A17" s="220" t="s">
        <v>112</v>
      </c>
      <c r="B17" s="5" t="s">
        <v>227</v>
      </c>
      <c r="C17" s="653"/>
    </row>
    <row r="18" spans="1:3" s="228" customFormat="1" ht="12" customHeight="1" x14ac:dyDescent="0.2">
      <c r="A18" s="220" t="s">
        <v>113</v>
      </c>
      <c r="B18" s="5" t="s">
        <v>228</v>
      </c>
      <c r="C18" s="652"/>
    </row>
    <row r="19" spans="1:3" s="228" customFormat="1" ht="12" customHeight="1" x14ac:dyDescent="0.2">
      <c r="A19" s="220" t="s">
        <v>114</v>
      </c>
      <c r="B19" s="5" t="s">
        <v>440</v>
      </c>
      <c r="C19" s="654"/>
    </row>
    <row r="20" spans="1:3" s="228" customFormat="1" ht="12" customHeight="1" thickBot="1" x14ac:dyDescent="0.25">
      <c r="A20" s="220" t="s">
        <v>115</v>
      </c>
      <c r="B20" s="4" t="s">
        <v>229</v>
      </c>
      <c r="C20" s="654"/>
    </row>
    <row r="21" spans="1:3" s="176" customFormat="1" ht="12" customHeight="1" thickBot="1" x14ac:dyDescent="0.25">
      <c r="A21" s="73" t="s">
        <v>20</v>
      </c>
      <c r="B21" s="90" t="s">
        <v>347</v>
      </c>
      <c r="C21" s="65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5"/>
    </row>
    <row r="23" spans="1:3" s="228" customFormat="1" ht="12" customHeight="1" x14ac:dyDescent="0.2">
      <c r="A23" s="220" t="s">
        <v>104</v>
      </c>
      <c r="B23" s="5" t="s">
        <v>348</v>
      </c>
      <c r="C23" s="652"/>
    </row>
    <row r="24" spans="1:3" s="228" customFormat="1" ht="12" customHeight="1" x14ac:dyDescent="0.2">
      <c r="A24" s="220" t="s">
        <v>105</v>
      </c>
      <c r="B24" s="5" t="s">
        <v>349</v>
      </c>
      <c r="C24" s="652"/>
    </row>
    <row r="25" spans="1:3" s="228" customFormat="1" ht="12" customHeight="1" thickBot="1" x14ac:dyDescent="0.25">
      <c r="A25" s="220" t="s">
        <v>106</v>
      </c>
      <c r="B25" s="5" t="s">
        <v>511</v>
      </c>
      <c r="C25" s="652"/>
    </row>
    <row r="26" spans="1:3" s="228" customFormat="1" ht="12" customHeight="1" thickBot="1" x14ac:dyDescent="0.25">
      <c r="A26" s="76" t="s">
        <v>21</v>
      </c>
      <c r="B26" s="56" t="s">
        <v>137</v>
      </c>
      <c r="C26" s="657"/>
    </row>
    <row r="27" spans="1:3" s="228" customFormat="1" ht="12" customHeight="1" thickBot="1" x14ac:dyDescent="0.25">
      <c r="A27" s="76" t="s">
        <v>22</v>
      </c>
      <c r="B27" s="56" t="s">
        <v>512</v>
      </c>
      <c r="C27" s="65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8"/>
    </row>
    <row r="29" spans="1:3" s="228" customFormat="1" ht="12" customHeight="1" x14ac:dyDescent="0.2">
      <c r="A29" s="221" t="s">
        <v>211</v>
      </c>
      <c r="B29" s="222" t="s">
        <v>348</v>
      </c>
      <c r="C29" s="655"/>
    </row>
    <row r="30" spans="1:3" s="228" customFormat="1" ht="12" customHeight="1" x14ac:dyDescent="0.2">
      <c r="A30" s="221" t="s">
        <v>212</v>
      </c>
      <c r="B30" s="223" t="s">
        <v>350</v>
      </c>
      <c r="C30" s="652"/>
    </row>
    <row r="31" spans="1:3" s="228" customFormat="1" ht="12" customHeight="1" thickBot="1" x14ac:dyDescent="0.25">
      <c r="A31" s="220" t="s">
        <v>213</v>
      </c>
      <c r="B31" s="59" t="s">
        <v>513</v>
      </c>
      <c r="C31" s="659"/>
    </row>
    <row r="32" spans="1:3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8"/>
    </row>
    <row r="34" spans="1:3" s="228" customFormat="1" ht="12" customHeight="1" x14ac:dyDescent="0.2">
      <c r="A34" s="221" t="s">
        <v>91</v>
      </c>
      <c r="B34" s="223" t="s">
        <v>235</v>
      </c>
      <c r="C34" s="653"/>
    </row>
    <row r="35" spans="1:3" s="176" customFormat="1" ht="12" customHeight="1" thickBot="1" x14ac:dyDescent="0.25">
      <c r="A35" s="220" t="s">
        <v>92</v>
      </c>
      <c r="B35" s="59" t="s">
        <v>236</v>
      </c>
      <c r="C35" s="659"/>
    </row>
    <row r="36" spans="1:3" s="176" customFormat="1" ht="12" customHeight="1" thickBot="1" x14ac:dyDescent="0.25">
      <c r="A36" s="76" t="s">
        <v>24</v>
      </c>
      <c r="B36" s="56" t="s">
        <v>322</v>
      </c>
      <c r="C36" s="657"/>
    </row>
    <row r="37" spans="1:3" s="176" customFormat="1" ht="12" customHeight="1" thickBot="1" x14ac:dyDescent="0.25">
      <c r="A37" s="76" t="s">
        <v>25</v>
      </c>
      <c r="B37" s="56" t="s">
        <v>352</v>
      </c>
      <c r="C37" s="660"/>
    </row>
    <row r="38" spans="1:3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12352850</v>
      </c>
    </row>
    <row r="39" spans="1:3" s="176" customFormat="1" ht="12" customHeight="1" thickBot="1" x14ac:dyDescent="0.25">
      <c r="A39" s="1152" t="s">
        <v>27</v>
      </c>
      <c r="B39" s="56" t="s">
        <v>354</v>
      </c>
      <c r="C39" s="661">
        <f>+C40+C41+C42</f>
        <v>105117833</v>
      </c>
    </row>
    <row r="40" spans="1:3" s="176" customFormat="1" ht="12" customHeight="1" x14ac:dyDescent="0.2">
      <c r="A40" s="221" t="s">
        <v>355</v>
      </c>
      <c r="B40" s="222" t="s">
        <v>179</v>
      </c>
      <c r="C40" s="658">
        <v>284096</v>
      </c>
    </row>
    <row r="41" spans="1:3" s="228" customFormat="1" ht="12" customHeight="1" x14ac:dyDescent="0.2">
      <c r="A41" s="221" t="s">
        <v>356</v>
      </c>
      <c r="B41" s="223" t="s">
        <v>7</v>
      </c>
      <c r="C41" s="653"/>
    </row>
    <row r="42" spans="1:3" s="228" customFormat="1" ht="15" customHeight="1" thickBot="1" x14ac:dyDescent="0.25">
      <c r="A42" s="220" t="s">
        <v>357</v>
      </c>
      <c r="B42" s="59" t="s">
        <v>358</v>
      </c>
      <c r="C42" s="659">
        <v>104833737</v>
      </c>
    </row>
    <row r="43" spans="1:3" s="228" customFormat="1" ht="15" customHeight="1" thickBot="1" x14ac:dyDescent="0.25">
      <c r="A43" s="1152" t="s">
        <v>28</v>
      </c>
      <c r="B43" s="1153" t="s">
        <v>359</v>
      </c>
      <c r="C43" s="662">
        <f>+C38+C39</f>
        <v>117470683</v>
      </c>
    </row>
    <row r="44" spans="1:3" x14ac:dyDescent="0.2">
      <c r="A44" s="93"/>
      <c r="B44" s="94"/>
      <c r="C44" s="663"/>
    </row>
    <row r="45" spans="1:3" s="227" customFormat="1" ht="16.5" customHeight="1" thickBot="1" x14ac:dyDescent="0.25">
      <c r="A45" s="95"/>
      <c r="B45" s="96"/>
      <c r="C45" s="664"/>
    </row>
    <row r="46" spans="1:3" s="229" customFormat="1" ht="12" customHeight="1" thickBot="1" x14ac:dyDescent="0.25">
      <c r="A46" s="97"/>
      <c r="B46" s="98" t="s">
        <v>57</v>
      </c>
      <c r="C46" s="662"/>
    </row>
    <row r="47" spans="1:3" ht="12" customHeight="1" thickBot="1" x14ac:dyDescent="0.25">
      <c r="A47" s="76" t="s">
        <v>19</v>
      </c>
      <c r="B47" s="56" t="s">
        <v>360</v>
      </c>
      <c r="C47" s="650">
        <f>SUM(C48:C52)</f>
        <v>114330721</v>
      </c>
    </row>
    <row r="48" spans="1:3" ht="12" customHeight="1" x14ac:dyDescent="0.2">
      <c r="A48" s="220" t="s">
        <v>97</v>
      </c>
      <c r="B48" s="6" t="s">
        <v>49</v>
      </c>
      <c r="C48" s="658">
        <v>56250808</v>
      </c>
    </row>
    <row r="49" spans="1:6" ht="12" customHeight="1" x14ac:dyDescent="0.2">
      <c r="A49" s="220" t="s">
        <v>98</v>
      </c>
      <c r="B49" s="5" t="s">
        <v>146</v>
      </c>
      <c r="C49" s="652">
        <v>8981266</v>
      </c>
    </row>
    <row r="50" spans="1:6" ht="12" customHeight="1" x14ac:dyDescent="0.2">
      <c r="A50" s="220" t="s">
        <v>99</v>
      </c>
      <c r="B50" s="5" t="s">
        <v>122</v>
      </c>
      <c r="C50" s="652">
        <v>49098647</v>
      </c>
    </row>
    <row r="51" spans="1:6" ht="12" customHeight="1" x14ac:dyDescent="0.2">
      <c r="A51" s="220" t="s">
        <v>100</v>
      </c>
      <c r="B51" s="5" t="s">
        <v>147</v>
      </c>
      <c r="C51" s="652"/>
    </row>
    <row r="52" spans="1:6" ht="12" customHeight="1" thickBot="1" x14ac:dyDescent="0.25">
      <c r="A52" s="220" t="s">
        <v>123</v>
      </c>
      <c r="B52" s="5" t="s">
        <v>148</v>
      </c>
      <c r="C52" s="652"/>
    </row>
    <row r="53" spans="1:6" s="229" customFormat="1" ht="12" customHeight="1" thickBot="1" x14ac:dyDescent="0.25">
      <c r="A53" s="76" t="s">
        <v>20</v>
      </c>
      <c r="B53" s="56" t="s">
        <v>361</v>
      </c>
      <c r="C53" s="650">
        <f>SUM(C54:C56)</f>
        <v>3139962</v>
      </c>
    </row>
    <row r="54" spans="1:6" ht="12" customHeight="1" x14ac:dyDescent="0.2">
      <c r="A54" s="220" t="s">
        <v>103</v>
      </c>
      <c r="B54" s="6" t="s">
        <v>170</v>
      </c>
      <c r="C54" s="658">
        <v>3139962</v>
      </c>
    </row>
    <row r="55" spans="1:6" ht="12" customHeight="1" x14ac:dyDescent="0.2">
      <c r="A55" s="220" t="s">
        <v>104</v>
      </c>
      <c r="B55" s="5" t="s">
        <v>150</v>
      </c>
      <c r="C55" s="652"/>
    </row>
    <row r="56" spans="1:6" ht="12" customHeight="1" x14ac:dyDescent="0.2">
      <c r="A56" s="220" t="s">
        <v>105</v>
      </c>
      <c r="B56" s="5" t="s">
        <v>58</v>
      </c>
      <c r="C56" s="652"/>
    </row>
    <row r="57" spans="1:6" ht="15" customHeight="1" thickBot="1" x14ac:dyDescent="0.25">
      <c r="A57" s="220" t="s">
        <v>106</v>
      </c>
      <c r="B57" s="5" t="s">
        <v>514</v>
      </c>
      <c r="C57" s="652"/>
    </row>
    <row r="58" spans="1:6" ht="13.5" thickBot="1" x14ac:dyDescent="0.25">
      <c r="A58" s="76" t="s">
        <v>21</v>
      </c>
      <c r="B58" s="56" t="s">
        <v>13</v>
      </c>
      <c r="C58" s="657"/>
    </row>
    <row r="59" spans="1:6" ht="15" customHeight="1" thickBot="1" x14ac:dyDescent="0.25">
      <c r="A59" s="76" t="s">
        <v>22</v>
      </c>
      <c r="B59" s="99" t="s">
        <v>515</v>
      </c>
      <c r="C59" s="665">
        <f>+C47+C53+C58</f>
        <v>117470683</v>
      </c>
    </row>
    <row r="60" spans="1:6" ht="14.25" customHeight="1" thickBot="1" x14ac:dyDescent="0.25">
      <c r="C60" s="666"/>
    </row>
    <row r="61" spans="1:6" x14ac:dyDescent="0.2">
      <c r="A61" s="770" t="s">
        <v>508</v>
      </c>
      <c r="B61" s="771"/>
      <c r="C61" s="772">
        <v>19.75</v>
      </c>
      <c r="E61" s="564"/>
      <c r="F61" s="564"/>
    </row>
    <row r="62" spans="1:6" ht="13.5" customHeight="1" thickBot="1" x14ac:dyDescent="0.25">
      <c r="A62" s="1469" t="s">
        <v>1021</v>
      </c>
      <c r="B62" s="1470"/>
      <c r="C62" s="773"/>
      <c r="E62" s="931"/>
      <c r="F62" s="93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B16" sqref="B16"/>
    </sheetView>
  </sheetViews>
  <sheetFormatPr defaultColWidth="9.33203125" defaultRowHeight="12.75" x14ac:dyDescent="0.2"/>
  <cols>
    <col min="1" max="1" width="13.83203125" style="100" customWidth="1"/>
    <col min="2" max="2" width="79.1640625" style="908" customWidth="1"/>
    <col min="3" max="3" width="25" style="357" customWidth="1"/>
    <col min="4" max="16384" width="9.33203125" style="908"/>
  </cols>
  <sheetData>
    <row r="1" spans="1:3" ht="12.75" customHeight="1" x14ac:dyDescent="0.2">
      <c r="A1" s="1468" t="str">
        <f>CONCATENATE("9.4.2. melléklet"," ",ALAPADATOK!A7," ",ALAPADATOK!B7," ",ALAPADATOK!C7," ",ALAPADATOK!D7," ",ALAPADATOK!E7," ",ALAPADATOK!F7," ",ALAPADATOK!G7," ",ALAPADATOK!H7)</f>
        <v>9.4.2.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1154"/>
    </row>
    <row r="3" spans="1:3" s="225" customFormat="1" ht="36.75" customHeight="1" x14ac:dyDescent="0.2">
      <c r="A3" s="182" t="s">
        <v>164</v>
      </c>
      <c r="B3" s="161" t="s">
        <v>538</v>
      </c>
      <c r="C3" s="174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2">
        <f>SUM(C10:C20)</f>
        <v>1154984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020">
        <v>909435</v>
      </c>
    </row>
    <row r="12" spans="1:3" s="176" customFormat="1" ht="12" customHeight="1" x14ac:dyDescent="0.2">
      <c r="A12" s="220" t="s">
        <v>99</v>
      </c>
      <c r="B12" s="5" t="s">
        <v>222</v>
      </c>
      <c r="C12" s="1020"/>
    </row>
    <row r="13" spans="1:3" s="176" customFormat="1" ht="12" customHeight="1" x14ac:dyDescent="0.2">
      <c r="A13" s="220" t="s">
        <v>100</v>
      </c>
      <c r="B13" s="5" t="s">
        <v>223</v>
      </c>
      <c r="C13" s="1020"/>
    </row>
    <row r="14" spans="1:3" s="176" customFormat="1" ht="12" customHeight="1" x14ac:dyDescent="0.2">
      <c r="A14" s="220" t="s">
        <v>123</v>
      </c>
      <c r="B14" s="5" t="s">
        <v>224</v>
      </c>
      <c r="C14" s="1020"/>
    </row>
    <row r="15" spans="1:3" s="176" customFormat="1" ht="12" customHeight="1" x14ac:dyDescent="0.2">
      <c r="A15" s="220" t="s">
        <v>101</v>
      </c>
      <c r="B15" s="5" t="s">
        <v>345</v>
      </c>
      <c r="C15" s="1020">
        <v>245549</v>
      </c>
    </row>
    <row r="16" spans="1:3" s="176" customFormat="1" ht="12" customHeight="1" x14ac:dyDescent="0.2">
      <c r="A16" s="220" t="s">
        <v>102</v>
      </c>
      <c r="B16" s="4" t="s">
        <v>346</v>
      </c>
      <c r="C16" s="1020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1020"/>
    </row>
    <row r="19" spans="1:3" s="228" customFormat="1" ht="12" customHeight="1" x14ac:dyDescent="0.2">
      <c r="A19" s="220" t="s">
        <v>114</v>
      </c>
      <c r="B19" s="5" t="s">
        <v>440</v>
      </c>
      <c r="C19" s="473"/>
    </row>
    <row r="20" spans="1:3" s="228" customFormat="1" ht="12" customHeight="1" thickBot="1" x14ac:dyDescent="0.25">
      <c r="A20" s="220" t="s">
        <v>115</v>
      </c>
      <c r="B20" s="4" t="s">
        <v>229</v>
      </c>
      <c r="C20" s="473"/>
    </row>
    <row r="21" spans="1:3" s="176" customFormat="1" ht="12" customHeight="1" thickBot="1" x14ac:dyDescent="0.25">
      <c r="A21" s="73" t="s">
        <v>20</v>
      </c>
      <c r="B21" s="90" t="s">
        <v>347</v>
      </c>
      <c r="C21" s="1022">
        <f>SUM(C22:C24)</f>
        <v>9618799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20"/>
    </row>
    <row r="24" spans="1:3" s="228" customFormat="1" ht="12" customHeight="1" x14ac:dyDescent="0.2">
      <c r="A24" s="220" t="s">
        <v>105</v>
      </c>
      <c r="B24" s="5" t="s">
        <v>349</v>
      </c>
      <c r="C24" s="652">
        <v>9618799</v>
      </c>
    </row>
    <row r="25" spans="1:3" s="228" customFormat="1" ht="12" customHeight="1" thickBot="1" x14ac:dyDescent="0.25">
      <c r="A25" s="220" t="s">
        <v>106</v>
      </c>
      <c r="B25" s="5" t="s">
        <v>511</v>
      </c>
      <c r="C25" s="1020">
        <v>9618799</v>
      </c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2">
        <f>+C28+C29+C30</f>
        <v>51850900</v>
      </c>
    </row>
    <row r="28" spans="1:3" s="228" customFormat="1" ht="12" customHeight="1" x14ac:dyDescent="0.2">
      <c r="A28" s="221" t="s">
        <v>208</v>
      </c>
      <c r="B28" s="222" t="s">
        <v>203</v>
      </c>
      <c r="C28" s="1019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>
        <v>51850900</v>
      </c>
    </row>
    <row r="31" spans="1:3" s="228" customFormat="1" ht="12" customHeight="1" thickBot="1" x14ac:dyDescent="0.25">
      <c r="A31" s="220" t="s">
        <v>213</v>
      </c>
      <c r="B31" s="59" t="s">
        <v>513</v>
      </c>
      <c r="C31" s="1021">
        <v>51850900</v>
      </c>
    </row>
    <row r="32" spans="1:3" s="228" customFormat="1" ht="12" customHeight="1" thickBot="1" x14ac:dyDescent="0.25">
      <c r="A32" s="76" t="s">
        <v>23</v>
      </c>
      <c r="B32" s="56" t="s">
        <v>351</v>
      </c>
      <c r="C32" s="1022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1019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176" customFormat="1" ht="12" customHeight="1" thickBot="1" x14ac:dyDescent="0.25">
      <c r="A35" s="220" t="s">
        <v>92</v>
      </c>
      <c r="B35" s="59" t="s">
        <v>236</v>
      </c>
      <c r="C35" s="1021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23">
        <f>+C9+C21+C26+C27+C32+C36+C37</f>
        <v>62624683</v>
      </c>
    </row>
    <row r="39" spans="1:3" s="176" customFormat="1" ht="12" customHeight="1" thickBot="1" x14ac:dyDescent="0.25">
      <c r="A39" s="1152" t="s">
        <v>27</v>
      </c>
      <c r="B39" s="56" t="s">
        <v>354</v>
      </c>
      <c r="C39" s="1023">
        <f>+C40+C41+C42</f>
        <v>6494967</v>
      </c>
    </row>
    <row r="40" spans="1:3" s="176" customFormat="1" ht="12" customHeight="1" x14ac:dyDescent="0.2">
      <c r="A40" s="221" t="s">
        <v>355</v>
      </c>
      <c r="B40" s="222" t="s">
        <v>179</v>
      </c>
      <c r="C40" s="1019"/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1021">
        <v>6494967</v>
      </c>
    </row>
    <row r="43" spans="1:3" s="228" customFormat="1" ht="15" customHeight="1" thickBot="1" x14ac:dyDescent="0.25">
      <c r="A43" s="1152" t="s">
        <v>28</v>
      </c>
      <c r="B43" s="1153" t="s">
        <v>359</v>
      </c>
      <c r="C43" s="171">
        <f>+C38+C39</f>
        <v>69119650</v>
      </c>
    </row>
    <row r="44" spans="1:3" x14ac:dyDescent="0.2">
      <c r="A44" s="93"/>
      <c r="B44" s="94"/>
      <c r="C44" s="169"/>
    </row>
    <row r="45" spans="1:3" s="227" customFormat="1" ht="16.5" customHeight="1" thickBot="1" x14ac:dyDescent="0.25">
      <c r="A45" s="95"/>
      <c r="B45" s="96"/>
      <c r="C45" s="170"/>
    </row>
    <row r="46" spans="1:3" s="229" customFormat="1" ht="12" customHeight="1" thickBot="1" x14ac:dyDescent="0.25">
      <c r="A46" s="97"/>
      <c r="B46" s="98" t="s">
        <v>57</v>
      </c>
      <c r="C46" s="171"/>
    </row>
    <row r="47" spans="1:3" ht="12" customHeight="1" thickBot="1" x14ac:dyDescent="0.25">
      <c r="A47" s="76" t="s">
        <v>19</v>
      </c>
      <c r="B47" s="56" t="s">
        <v>360</v>
      </c>
      <c r="C47" s="1022">
        <f>SUM(C48:C52)</f>
        <v>12687083</v>
      </c>
    </row>
    <row r="48" spans="1:3" ht="12" customHeight="1" x14ac:dyDescent="0.2">
      <c r="A48" s="220" t="s">
        <v>97</v>
      </c>
      <c r="B48" s="6" t="s">
        <v>49</v>
      </c>
      <c r="C48" s="658">
        <v>465000</v>
      </c>
    </row>
    <row r="49" spans="1:3" ht="12" customHeight="1" x14ac:dyDescent="0.2">
      <c r="A49" s="220" t="s">
        <v>98</v>
      </c>
      <c r="B49" s="5" t="s">
        <v>146</v>
      </c>
      <c r="C49" s="652">
        <v>125550</v>
      </c>
    </row>
    <row r="50" spans="1:3" ht="12" customHeight="1" x14ac:dyDescent="0.2">
      <c r="A50" s="220" t="s">
        <v>99</v>
      </c>
      <c r="B50" s="5" t="s">
        <v>122</v>
      </c>
      <c r="C50" s="652">
        <v>12096533</v>
      </c>
    </row>
    <row r="51" spans="1:3" ht="12" customHeight="1" x14ac:dyDescent="0.2">
      <c r="A51" s="220" t="s">
        <v>100</v>
      </c>
      <c r="B51" s="5" t="s">
        <v>147</v>
      </c>
      <c r="C51" s="652"/>
    </row>
    <row r="52" spans="1:3" ht="12" customHeight="1" thickBot="1" x14ac:dyDescent="0.25">
      <c r="A52" s="220" t="s">
        <v>123</v>
      </c>
      <c r="B52" s="5" t="s">
        <v>148</v>
      </c>
      <c r="C52" s="1020"/>
    </row>
    <row r="53" spans="1:3" s="229" customFormat="1" ht="12" customHeight="1" thickBot="1" x14ac:dyDescent="0.25">
      <c r="A53" s="76" t="s">
        <v>20</v>
      </c>
      <c r="B53" s="56" t="s">
        <v>361</v>
      </c>
      <c r="C53" s="1022">
        <f>SUM(C54:C56)</f>
        <v>56432567</v>
      </c>
    </row>
    <row r="54" spans="1:3" ht="12" customHeight="1" x14ac:dyDescent="0.2">
      <c r="A54" s="220" t="s">
        <v>103</v>
      </c>
      <c r="B54" s="6" t="s">
        <v>170</v>
      </c>
      <c r="C54" s="658">
        <v>54931845</v>
      </c>
    </row>
    <row r="55" spans="1:3" ht="12" customHeight="1" x14ac:dyDescent="0.2">
      <c r="A55" s="220" t="s">
        <v>104</v>
      </c>
      <c r="B55" s="5" t="s">
        <v>150</v>
      </c>
      <c r="C55" s="652">
        <v>1500722</v>
      </c>
    </row>
    <row r="56" spans="1:3" ht="12" customHeight="1" x14ac:dyDescent="0.2">
      <c r="A56" s="220" t="s">
        <v>105</v>
      </c>
      <c r="B56" s="5" t="s">
        <v>58</v>
      </c>
      <c r="C56" s="1020"/>
    </row>
    <row r="57" spans="1:3" ht="15" customHeight="1" thickBot="1" x14ac:dyDescent="0.25">
      <c r="A57" s="220" t="s">
        <v>106</v>
      </c>
      <c r="B57" s="5" t="s">
        <v>514</v>
      </c>
      <c r="C57" s="1020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5" customHeight="1" thickBot="1" x14ac:dyDescent="0.25">
      <c r="A59" s="76" t="s">
        <v>22</v>
      </c>
      <c r="B59" s="99" t="s">
        <v>515</v>
      </c>
      <c r="C59" s="172">
        <f>+C47+C53+C58</f>
        <v>69119650</v>
      </c>
    </row>
    <row r="60" spans="1:3" ht="14.25" customHeight="1" thickBot="1" x14ac:dyDescent="0.25">
      <c r="C60" s="356"/>
    </row>
    <row r="61" spans="1:3" ht="13.5" thickBot="1" x14ac:dyDescent="0.25">
      <c r="A61" s="101" t="s">
        <v>508</v>
      </c>
      <c r="B61" s="102"/>
      <c r="C61" s="47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5" zoomScaleNormal="115"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4" width="0" style="908" hidden="1" customWidth="1"/>
    <col min="5" max="5" width="11.83203125" style="931" hidden="1" customWidth="1"/>
    <col min="6" max="6" width="12.5" style="931" hidden="1" customWidth="1"/>
    <col min="7" max="7" width="0" style="908" hidden="1" customWidth="1"/>
    <col min="8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6" ht="12.75" customHeight="1" x14ac:dyDescent="0.2">
      <c r="A1" s="1468" t="str">
        <f>CONCATENATE("9.5. melléklet"," ",ALAPADATOK!A7," ",ALAPADATOK!B7," ",ALAPADATOK!C7," ",ALAPADATOK!D7," ",ALAPADATOK!E7," ",ALAPADATOK!F7," ",ALAPADATOK!G7," ",ALAPADATOK!H7)</f>
        <v>9.5. melléklet a 2 / 2021. ( II.15. ) önkormányzati rendelethez</v>
      </c>
      <c r="B1" s="1468"/>
      <c r="C1" s="1468"/>
    </row>
    <row r="2" spans="1:6" s="80" customFormat="1" ht="21" customHeight="1" thickBot="1" x14ac:dyDescent="0.25">
      <c r="A2" s="79"/>
      <c r="B2" s="81"/>
      <c r="C2" s="1151"/>
      <c r="E2" s="931"/>
      <c r="F2" s="931"/>
    </row>
    <row r="3" spans="1:6" s="225" customFormat="1" ht="36" customHeight="1" x14ac:dyDescent="0.2">
      <c r="A3" s="182" t="s">
        <v>164</v>
      </c>
      <c r="B3" s="161" t="s">
        <v>521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50">
        <f>SUM(C10:C20)</f>
        <v>66375872</v>
      </c>
      <c r="E9" s="564">
        <f>'9.5.1. sz. mell VK '!C9+'9.5.2. sz. mell VK'!C9</f>
        <v>66375872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1"/>
      <c r="E10" s="564">
        <f>'9.5.1. sz. mell VK '!C10+'9.5.2. sz. mell VK'!C10</f>
        <v>0</v>
      </c>
      <c r="F10" s="564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1020">
        <v>25515233</v>
      </c>
      <c r="E11" s="564">
        <f>'9.5.1. sz. mell VK '!C11+'9.5.2. sz. mell VK'!C11</f>
        <v>25515233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1020">
        <v>1270000</v>
      </c>
      <c r="E12" s="564">
        <f>'9.5.1. sz. mell VK '!C12+'9.5.2. sz. mell VK'!C12</f>
        <v>1270000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1020"/>
      <c r="E13" s="564">
        <f>'9.5.1. sz. mell VK '!C13+'9.5.2. sz. mell VK'!C13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1020">
        <v>23682732</v>
      </c>
      <c r="E14" s="564">
        <f>'9.5.1. sz. mell VK '!C14+'9.5.2. sz. mell VK'!C14</f>
        <v>23682732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1020">
        <v>6457815</v>
      </c>
      <c r="E15" s="564">
        <f>'9.5.1. sz. mell VK '!C15+'9.5.2. sz. mell VK'!C15</f>
        <v>6457815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1020">
        <v>9450092</v>
      </c>
      <c r="E16" s="564">
        <f>'9.5.1. sz. mell VK '!C16+'9.5.2. sz. mell VK'!C16</f>
        <v>9450092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3"/>
      <c r="E17" s="564">
        <f>'9.5.1. sz. mell VK '!C17+'9.5.2. sz. mell VK'!C17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2"/>
      <c r="E18" s="564">
        <f>'9.5.1. sz. mell VK '!C18+'9.5.2. sz. mell VK'!C18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4"/>
      <c r="E19" s="564">
        <f>'9.5.1. sz. mell VK '!C19+'9.5.2. sz. mell VK'!C19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4"/>
      <c r="E20" s="564">
        <f>'9.5.1. sz. mell VK '!C20+'9.5.2. sz. mell VK'!C20</f>
        <v>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50">
        <f>SUM(C22:C24)</f>
        <v>0</v>
      </c>
      <c r="E21" s="564">
        <f>'9.5.1. sz. mell VK '!C21+'9.5.2. sz. mell VK'!C21</f>
        <v>0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5"/>
      <c r="E22" s="564">
        <f>'9.5.1. sz. mell VK '!C22+'9.5.2. sz. mell VK'!C22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2"/>
      <c r="E23" s="564">
        <f>'9.5.1. sz. mell VK '!C23+'9.5.2. sz. mell VK'!C23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56"/>
      <c r="E24" s="564">
        <f>'9.5.1. sz. mell VK '!C24+'9.5.2. sz. mell VK'!C24</f>
        <v>0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2"/>
      <c r="E25" s="564">
        <f>'9.5.1. sz. mell VK '!C25+'9.5.2. sz. mell VK'!C25</f>
        <v>0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7"/>
      <c r="E26" s="564">
        <f>'9.5.1. sz. mell VK '!C26+'9.5.2. sz. mell VK'!C26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50">
        <f>+C28+C29+C30</f>
        <v>0</v>
      </c>
      <c r="E27" s="564">
        <f>'9.5.1. sz. mell VK '!C27+'9.5.2. sz. mell VK'!C27</f>
        <v>0</v>
      </c>
      <c r="F27" s="564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58"/>
      <c r="E28" s="564">
        <f>'9.5.1. sz. mell VK '!C28+'9.5.2. sz. mell VK'!C28</f>
        <v>0</v>
      </c>
      <c r="F28" s="564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55"/>
      <c r="E29" s="564">
        <f>'9.5.1. sz. mell VK '!C29+'9.5.2. sz. mell VK'!C29</f>
        <v>0</v>
      </c>
      <c r="F29" s="564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55"/>
      <c r="E30" s="564">
        <f>'9.5.1. sz. mell VK '!C30+'9.5.2. sz. mell VK'!C30</f>
        <v>0</v>
      </c>
      <c r="F30" s="564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59"/>
      <c r="E31" s="564">
        <f>'9.5.1. sz. mell VK '!C31+'9.5.2. sz. mell VK'!C31</f>
        <v>0</v>
      </c>
      <c r="F31" s="564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  <c r="E32" s="564">
        <f>'9.5.1. sz. mell VK '!C32+'9.5.2. sz. mell VK'!C32</f>
        <v>0</v>
      </c>
      <c r="F32" s="564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58"/>
      <c r="E33" s="564">
        <f>'9.5.1. sz. mell VK '!C33+'9.5.2. sz. mell VK'!C33</f>
        <v>0</v>
      </c>
      <c r="F33" s="564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53"/>
      <c r="E34" s="564">
        <f>'9.5.1. sz. mell VK '!C34+'9.5.2. sz. mell VK'!C34</f>
        <v>0</v>
      </c>
      <c r="F34" s="564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59"/>
      <c r="E35" s="564">
        <f>'9.5.1. sz. mell VK '!C35+'9.5.2. sz. mell VK'!C35</f>
        <v>0</v>
      </c>
      <c r="F35" s="564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57"/>
      <c r="E36" s="564">
        <f>'9.5.1. sz. mell VK '!C36+'9.5.2. sz. mell VK'!C36</f>
        <v>0</v>
      </c>
      <c r="F36" s="564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660"/>
      <c r="E37" s="564">
        <f>'9.5.1. sz. mell VK '!C37+'9.5.2. sz. mell VK'!C37</f>
        <v>0</v>
      </c>
      <c r="F37" s="564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66375872</v>
      </c>
      <c r="E38" s="564">
        <f>'9.5.1. sz. mell VK '!C38+'9.5.2. sz. mell VK'!C38</f>
        <v>66375872</v>
      </c>
      <c r="F38" s="564">
        <f t="shared" si="0"/>
        <v>0</v>
      </c>
    </row>
    <row r="39" spans="1:6" s="176" customFormat="1" ht="12" customHeight="1" thickBot="1" x14ac:dyDescent="0.25">
      <c r="A39" s="1152" t="s">
        <v>27</v>
      </c>
      <c r="B39" s="56" t="s">
        <v>354</v>
      </c>
      <c r="C39" s="661">
        <f>+C40+C41+C42</f>
        <v>167147522</v>
      </c>
      <c r="E39" s="564">
        <f>'9.5.1. sz. mell VK '!C39+'9.5.2. sz. mell VK'!C39</f>
        <v>167147522</v>
      </c>
      <c r="F39" s="564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58">
        <v>913769</v>
      </c>
      <c r="E40" s="564">
        <f>'9.5.1. sz. mell VK '!C40+'9.5.2. sz. mell VK'!C40</f>
        <v>913769</v>
      </c>
      <c r="F40" s="564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53"/>
      <c r="E41" s="564">
        <f>'9.5.1. sz. mell VK '!C41+'9.5.2. sz. mell VK'!C41</f>
        <v>0</v>
      </c>
      <c r="F41" s="564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659">
        <v>166233753</v>
      </c>
      <c r="E42" s="564">
        <f>'9.5.1. sz. mell VK '!C42+'9.5.2. sz. mell VK'!C42</f>
        <v>166233753</v>
      </c>
      <c r="F42" s="564">
        <f t="shared" si="0"/>
        <v>0</v>
      </c>
    </row>
    <row r="43" spans="1:6" s="228" customFormat="1" ht="15" customHeight="1" thickBot="1" x14ac:dyDescent="0.25">
      <c r="A43" s="1152" t="s">
        <v>28</v>
      </c>
      <c r="B43" s="1153" t="s">
        <v>359</v>
      </c>
      <c r="C43" s="662">
        <f>+C38+C39</f>
        <v>233523394</v>
      </c>
      <c r="E43" s="564">
        <f>'9.5.1. sz. mell VK '!C43+'9.5.2. sz. mell VK'!C43</f>
        <v>233523394</v>
      </c>
      <c r="F43" s="564">
        <f t="shared" si="0"/>
        <v>0</v>
      </c>
    </row>
    <row r="44" spans="1:6" x14ac:dyDescent="0.2">
      <c r="A44" s="93"/>
      <c r="B44" s="94"/>
      <c r="C44" s="663"/>
      <c r="E44" s="564">
        <f>'9.5.1. sz. mell VK '!C44+'9.5.2. sz. mell VK'!C44</f>
        <v>0</v>
      </c>
      <c r="F44" s="564">
        <f t="shared" si="0"/>
        <v>0</v>
      </c>
    </row>
    <row r="45" spans="1:6" s="227" customFormat="1" ht="16.5" customHeight="1" thickBot="1" x14ac:dyDescent="0.25">
      <c r="A45" s="95"/>
      <c r="B45" s="96"/>
      <c r="C45" s="664"/>
      <c r="E45" s="564">
        <f>'9.5.1. sz. mell VK '!C45+'9.5.2. sz. mell VK'!C45</f>
        <v>0</v>
      </c>
      <c r="F45" s="564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62"/>
      <c r="E46" s="564">
        <f>'9.5.1. sz. mell VK '!C46+'9.5.2. sz. mell VK'!C46</f>
        <v>0</v>
      </c>
      <c r="F46" s="564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50">
        <f>SUM(C48:C52)</f>
        <v>233523394</v>
      </c>
      <c r="E47" s="564">
        <f>'9.5.1. sz. mell VK '!C47+'9.5.2. sz. mell VK'!C47</f>
        <v>233523394</v>
      </c>
      <c r="F47" s="564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658">
        <v>71998629</v>
      </c>
      <c r="E48" s="564">
        <f>'9.5.1. sz. mell VK '!C48+'9.5.2. sz. mell VK'!C48</f>
        <v>71998629</v>
      </c>
      <c r="F48" s="564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652">
        <v>11651828</v>
      </c>
      <c r="E49" s="564">
        <f>'9.5.1. sz. mell VK '!C49+'9.5.2. sz. mell VK'!C49</f>
        <v>11651828</v>
      </c>
      <c r="F49" s="564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652">
        <v>149872937</v>
      </c>
      <c r="E50" s="564">
        <f>'9.5.1. sz. mell VK '!C50+'9.5.2. sz. mell VK'!C50</f>
        <v>149872937</v>
      </c>
      <c r="F50" s="564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1020"/>
      <c r="E51" s="564">
        <f>'9.5.1. sz. mell VK '!C51+'9.5.2. sz. mell VK'!C51</f>
        <v>0</v>
      </c>
      <c r="F51" s="564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52"/>
      <c r="E52" s="564">
        <f>'9.5.1. sz. mell VK '!C52+'9.5.2. sz. mell VK'!C52</f>
        <v>0</v>
      </c>
      <c r="F52" s="564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50">
        <f>SUM(C54:C56)</f>
        <v>0</v>
      </c>
      <c r="E53" s="564">
        <f>'9.5.1. sz. mell VK '!C53+'9.5.2. sz. mell VK'!C53</f>
        <v>0</v>
      </c>
      <c r="F53" s="564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1024"/>
      <c r="E54" s="564">
        <f>'9.5.1. sz. mell VK '!C54+'9.5.2. sz. mell VK'!C54</f>
        <v>0</v>
      </c>
      <c r="F54" s="564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52">
        <f>600000-600000</f>
        <v>0</v>
      </c>
      <c r="E55" s="564">
        <f>'9.5.1. sz. mell VK '!C55+'9.5.2. sz. mell VK'!C55</f>
        <v>0</v>
      </c>
      <c r="F55" s="564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52"/>
      <c r="E56" s="564">
        <f>'9.5.1. sz. mell VK '!C56+'9.5.2. sz. mell VK'!C56</f>
        <v>0</v>
      </c>
      <c r="F56" s="564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52"/>
      <c r="E57" s="564">
        <f>'9.5.1. sz. mell VK '!C57+'9.5.2. sz. mell VK'!C57</f>
        <v>0</v>
      </c>
      <c r="F57" s="564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57"/>
      <c r="E58" s="564">
        <f>'9.5.1. sz. mell VK '!C58+'9.5.2. sz. mell VK'!C58</f>
        <v>0</v>
      </c>
      <c r="F58" s="564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65">
        <f>+C47+C53+C58</f>
        <v>233523394</v>
      </c>
      <c r="E59" s="564">
        <f>'9.5.1. sz. mell VK '!C59+'9.5.2. sz. mell VK'!C59</f>
        <v>233523394</v>
      </c>
      <c r="F59" s="564">
        <f t="shared" si="0"/>
        <v>0</v>
      </c>
    </row>
    <row r="60" spans="1:6" ht="14.25" customHeight="1" thickBot="1" x14ac:dyDescent="0.25">
      <c r="C60" s="666"/>
      <c r="E60" s="564">
        <f>'9.5.1. sz. mell VK '!C60+'9.5.2. sz. mell VK'!C60</f>
        <v>0</v>
      </c>
      <c r="F60" s="564">
        <f t="shared" si="0"/>
        <v>0</v>
      </c>
    </row>
    <row r="61" spans="1:6" x14ac:dyDescent="0.2">
      <c r="A61" s="770" t="s">
        <v>508</v>
      </c>
      <c r="B61" s="771"/>
      <c r="C61" s="772">
        <v>22.5</v>
      </c>
      <c r="E61" s="564" t="e">
        <f>#REF!+#REF!</f>
        <v>#REF!</v>
      </c>
      <c r="F61" s="564" t="e">
        <f t="shared" si="0"/>
        <v>#REF!</v>
      </c>
    </row>
    <row r="62" spans="1:6" ht="13.5" thickBot="1" x14ac:dyDescent="0.25">
      <c r="A62" s="1469" t="s">
        <v>1021</v>
      </c>
      <c r="B62" s="1470"/>
      <c r="C62" s="773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C22" sqref="C22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3" ht="12.75" customHeight="1" x14ac:dyDescent="0.2">
      <c r="A1" s="1468" t="str">
        <f>CONCATENATE("9.5.1. melléklet"," ",ALAPADATOK!A7," ",ALAPADATOK!B7," ",ALAPADATOK!C7," ",ALAPADATOK!D7," ",ALAPADATOK!E7," ",ALAPADATOK!F7," ",ALAPADATOK!G7," ",ALAPADATOK!H7)</f>
        <v>9.5.1.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1151"/>
    </row>
    <row r="3" spans="1:3" s="225" customFormat="1" ht="34.5" customHeight="1" x14ac:dyDescent="0.2">
      <c r="A3" s="182" t="s">
        <v>164</v>
      </c>
      <c r="B3" s="161" t="s">
        <v>521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60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50">
        <f>SUM(C10:C20)</f>
        <v>66375872</v>
      </c>
    </row>
    <row r="10" spans="1:3" s="176" customFormat="1" ht="12" customHeight="1" x14ac:dyDescent="0.2">
      <c r="A10" s="219" t="s">
        <v>97</v>
      </c>
      <c r="B10" s="7" t="s">
        <v>220</v>
      </c>
      <c r="C10" s="651"/>
    </row>
    <row r="11" spans="1:3" s="176" customFormat="1" ht="12" customHeight="1" x14ac:dyDescent="0.2">
      <c r="A11" s="220" t="s">
        <v>98</v>
      </c>
      <c r="B11" s="5" t="s">
        <v>221</v>
      </c>
      <c r="C11" s="1020">
        <v>25515233</v>
      </c>
    </row>
    <row r="12" spans="1:3" s="176" customFormat="1" ht="12" customHeight="1" x14ac:dyDescent="0.2">
      <c r="A12" s="220" t="s">
        <v>99</v>
      </c>
      <c r="B12" s="5" t="s">
        <v>222</v>
      </c>
      <c r="C12" s="1020">
        <v>1270000</v>
      </c>
    </row>
    <row r="13" spans="1:3" s="176" customFormat="1" ht="12" customHeight="1" x14ac:dyDescent="0.2">
      <c r="A13" s="220" t="s">
        <v>100</v>
      </c>
      <c r="B13" s="5" t="s">
        <v>223</v>
      </c>
      <c r="C13" s="1020"/>
    </row>
    <row r="14" spans="1:3" s="176" customFormat="1" ht="12" customHeight="1" x14ac:dyDescent="0.2">
      <c r="A14" s="220" t="s">
        <v>123</v>
      </c>
      <c r="B14" s="5" t="s">
        <v>224</v>
      </c>
      <c r="C14" s="1020">
        <v>23682732</v>
      </c>
    </row>
    <row r="15" spans="1:3" s="176" customFormat="1" ht="12" customHeight="1" x14ac:dyDescent="0.2">
      <c r="A15" s="220" t="s">
        <v>101</v>
      </c>
      <c r="B15" s="5" t="s">
        <v>345</v>
      </c>
      <c r="C15" s="1020">
        <v>6457815</v>
      </c>
    </row>
    <row r="16" spans="1:3" s="176" customFormat="1" ht="12" customHeight="1" x14ac:dyDescent="0.2">
      <c r="A16" s="220" t="s">
        <v>102</v>
      </c>
      <c r="B16" s="4" t="s">
        <v>346</v>
      </c>
      <c r="C16" s="1020">
        <v>9450092</v>
      </c>
    </row>
    <row r="17" spans="1:3" s="176" customFormat="1" ht="12" customHeight="1" x14ac:dyDescent="0.2">
      <c r="A17" s="220" t="s">
        <v>112</v>
      </c>
      <c r="B17" s="5" t="s">
        <v>227</v>
      </c>
      <c r="C17" s="653"/>
    </row>
    <row r="18" spans="1:3" s="228" customFormat="1" ht="12" customHeight="1" x14ac:dyDescent="0.2">
      <c r="A18" s="220" t="s">
        <v>113</v>
      </c>
      <c r="B18" s="5" t="s">
        <v>228</v>
      </c>
      <c r="C18" s="652"/>
    </row>
    <row r="19" spans="1:3" s="228" customFormat="1" ht="12" customHeight="1" x14ac:dyDescent="0.2">
      <c r="A19" s="220" t="s">
        <v>114</v>
      </c>
      <c r="B19" s="5" t="s">
        <v>440</v>
      </c>
      <c r="C19" s="654"/>
    </row>
    <row r="20" spans="1:3" s="228" customFormat="1" ht="12" customHeight="1" thickBot="1" x14ac:dyDescent="0.25">
      <c r="A20" s="220" t="s">
        <v>115</v>
      </c>
      <c r="B20" s="4" t="s">
        <v>229</v>
      </c>
      <c r="C20" s="654"/>
    </row>
    <row r="21" spans="1:3" s="176" customFormat="1" ht="12" customHeight="1" thickBot="1" x14ac:dyDescent="0.25">
      <c r="A21" s="73" t="s">
        <v>20</v>
      </c>
      <c r="B21" s="90" t="s">
        <v>347</v>
      </c>
      <c r="C21" s="65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5"/>
    </row>
    <row r="23" spans="1:3" s="228" customFormat="1" ht="12" customHeight="1" x14ac:dyDescent="0.2">
      <c r="A23" s="220" t="s">
        <v>104</v>
      </c>
      <c r="B23" s="5" t="s">
        <v>348</v>
      </c>
      <c r="C23" s="652"/>
    </row>
    <row r="24" spans="1:3" s="228" customFormat="1" ht="12" customHeight="1" x14ac:dyDescent="0.2">
      <c r="A24" s="220" t="s">
        <v>105</v>
      </c>
      <c r="B24" s="5" t="s">
        <v>349</v>
      </c>
      <c r="C24" s="652"/>
    </row>
    <row r="25" spans="1:3" s="228" customFormat="1" ht="12" customHeight="1" thickBot="1" x14ac:dyDescent="0.25">
      <c r="A25" s="220" t="s">
        <v>106</v>
      </c>
      <c r="B25" s="5" t="s">
        <v>511</v>
      </c>
      <c r="C25" s="652"/>
    </row>
    <row r="26" spans="1:3" s="228" customFormat="1" ht="12" customHeight="1" thickBot="1" x14ac:dyDescent="0.25">
      <c r="A26" s="76" t="s">
        <v>21</v>
      </c>
      <c r="B26" s="56" t="s">
        <v>137</v>
      </c>
      <c r="C26" s="657"/>
    </row>
    <row r="27" spans="1:3" s="228" customFormat="1" ht="12" customHeight="1" thickBot="1" x14ac:dyDescent="0.25">
      <c r="A27" s="76" t="s">
        <v>22</v>
      </c>
      <c r="B27" s="56" t="s">
        <v>512</v>
      </c>
      <c r="C27" s="65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8"/>
    </row>
    <row r="29" spans="1:3" s="228" customFormat="1" ht="12" customHeight="1" x14ac:dyDescent="0.2">
      <c r="A29" s="221" t="s">
        <v>211</v>
      </c>
      <c r="B29" s="222" t="s">
        <v>348</v>
      </c>
      <c r="C29" s="655"/>
    </row>
    <row r="30" spans="1:3" s="228" customFormat="1" ht="12" customHeight="1" x14ac:dyDescent="0.2">
      <c r="A30" s="221" t="s">
        <v>212</v>
      </c>
      <c r="B30" s="223" t="s">
        <v>350</v>
      </c>
      <c r="C30" s="655"/>
    </row>
    <row r="31" spans="1:3" s="228" customFormat="1" ht="12" customHeight="1" thickBot="1" x14ac:dyDescent="0.25">
      <c r="A31" s="220" t="s">
        <v>213</v>
      </c>
      <c r="B31" s="59" t="s">
        <v>513</v>
      </c>
      <c r="C31" s="659"/>
    </row>
    <row r="32" spans="1:3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8"/>
    </row>
    <row r="34" spans="1:3" s="228" customFormat="1" ht="12" customHeight="1" x14ac:dyDescent="0.2">
      <c r="A34" s="221" t="s">
        <v>91</v>
      </c>
      <c r="B34" s="223" t="s">
        <v>235</v>
      </c>
      <c r="C34" s="653"/>
    </row>
    <row r="35" spans="1:3" s="176" customFormat="1" ht="12" customHeight="1" thickBot="1" x14ac:dyDescent="0.25">
      <c r="A35" s="220" t="s">
        <v>92</v>
      </c>
      <c r="B35" s="59" t="s">
        <v>236</v>
      </c>
      <c r="C35" s="659"/>
    </row>
    <row r="36" spans="1:3" s="176" customFormat="1" ht="12" customHeight="1" thickBot="1" x14ac:dyDescent="0.25">
      <c r="A36" s="76" t="s">
        <v>24</v>
      </c>
      <c r="B36" s="56" t="s">
        <v>322</v>
      </c>
      <c r="C36" s="657"/>
    </row>
    <row r="37" spans="1:3" s="176" customFormat="1" ht="12" customHeight="1" thickBot="1" x14ac:dyDescent="0.25">
      <c r="A37" s="76" t="s">
        <v>25</v>
      </c>
      <c r="B37" s="56" t="s">
        <v>352</v>
      </c>
      <c r="C37" s="660"/>
    </row>
    <row r="38" spans="1:3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66375872</v>
      </c>
    </row>
    <row r="39" spans="1:3" s="176" customFormat="1" ht="12" customHeight="1" thickBot="1" x14ac:dyDescent="0.25">
      <c r="A39" s="1152" t="s">
        <v>27</v>
      </c>
      <c r="B39" s="56" t="s">
        <v>354</v>
      </c>
      <c r="C39" s="661">
        <f>+C40+C41+C42</f>
        <v>167147522</v>
      </c>
    </row>
    <row r="40" spans="1:3" s="176" customFormat="1" ht="12" customHeight="1" x14ac:dyDescent="0.2">
      <c r="A40" s="221" t="s">
        <v>355</v>
      </c>
      <c r="B40" s="222" t="s">
        <v>179</v>
      </c>
      <c r="C40" s="658">
        <v>913769</v>
      </c>
    </row>
    <row r="41" spans="1:3" s="228" customFormat="1" ht="12" customHeight="1" x14ac:dyDescent="0.2">
      <c r="A41" s="221" t="s">
        <v>356</v>
      </c>
      <c r="B41" s="223" t="s">
        <v>7</v>
      </c>
      <c r="C41" s="653"/>
    </row>
    <row r="42" spans="1:3" s="228" customFormat="1" ht="15" customHeight="1" thickBot="1" x14ac:dyDescent="0.25">
      <c r="A42" s="220" t="s">
        <v>357</v>
      </c>
      <c r="B42" s="59" t="s">
        <v>358</v>
      </c>
      <c r="C42" s="659">
        <v>166233753</v>
      </c>
    </row>
    <row r="43" spans="1:3" s="228" customFormat="1" ht="15" customHeight="1" thickBot="1" x14ac:dyDescent="0.25">
      <c r="A43" s="1152" t="s">
        <v>28</v>
      </c>
      <c r="B43" s="1153" t="s">
        <v>359</v>
      </c>
      <c r="C43" s="662">
        <f>+C38+C39</f>
        <v>233523394</v>
      </c>
    </row>
    <row r="44" spans="1:3" x14ac:dyDescent="0.2">
      <c r="A44" s="93"/>
      <c r="B44" s="94"/>
      <c r="C44" s="663"/>
    </row>
    <row r="45" spans="1:3" s="227" customFormat="1" ht="16.5" customHeight="1" thickBot="1" x14ac:dyDescent="0.25">
      <c r="A45" s="95"/>
      <c r="B45" s="96"/>
      <c r="C45" s="664"/>
    </row>
    <row r="46" spans="1:3" s="229" customFormat="1" ht="12" customHeight="1" thickBot="1" x14ac:dyDescent="0.25">
      <c r="A46" s="97"/>
      <c r="B46" s="98" t="s">
        <v>57</v>
      </c>
      <c r="C46" s="662"/>
    </row>
    <row r="47" spans="1:3" ht="12" customHeight="1" thickBot="1" x14ac:dyDescent="0.25">
      <c r="A47" s="76" t="s">
        <v>19</v>
      </c>
      <c r="B47" s="56" t="s">
        <v>360</v>
      </c>
      <c r="C47" s="650">
        <f>SUM(C48:C52)</f>
        <v>233523394</v>
      </c>
    </row>
    <row r="48" spans="1:3" ht="12" customHeight="1" x14ac:dyDescent="0.2">
      <c r="A48" s="220" t="s">
        <v>97</v>
      </c>
      <c r="B48" s="6" t="s">
        <v>49</v>
      </c>
      <c r="C48" s="658">
        <v>71998629</v>
      </c>
    </row>
    <row r="49" spans="1:6" ht="12" customHeight="1" x14ac:dyDescent="0.2">
      <c r="A49" s="220" t="s">
        <v>98</v>
      </c>
      <c r="B49" s="5" t="s">
        <v>146</v>
      </c>
      <c r="C49" s="652">
        <v>11651828</v>
      </c>
    </row>
    <row r="50" spans="1:6" ht="12" customHeight="1" x14ac:dyDescent="0.2">
      <c r="A50" s="220" t="s">
        <v>99</v>
      </c>
      <c r="B50" s="5" t="s">
        <v>122</v>
      </c>
      <c r="C50" s="652">
        <v>149872937</v>
      </c>
    </row>
    <row r="51" spans="1:6" ht="12" customHeight="1" x14ac:dyDescent="0.2">
      <c r="A51" s="220" t="s">
        <v>100</v>
      </c>
      <c r="B51" s="5" t="s">
        <v>147</v>
      </c>
      <c r="C51" s="652"/>
    </row>
    <row r="52" spans="1:6" ht="12" customHeight="1" thickBot="1" x14ac:dyDescent="0.25">
      <c r="A52" s="220" t="s">
        <v>123</v>
      </c>
      <c r="B52" s="5" t="s">
        <v>148</v>
      </c>
      <c r="C52" s="652"/>
    </row>
    <row r="53" spans="1:6" s="229" customFormat="1" ht="12" customHeight="1" thickBot="1" x14ac:dyDescent="0.25">
      <c r="A53" s="76" t="s">
        <v>20</v>
      </c>
      <c r="B53" s="56" t="s">
        <v>361</v>
      </c>
      <c r="C53" s="650">
        <f>SUM(C54:C56)</f>
        <v>0</v>
      </c>
    </row>
    <row r="54" spans="1:6" ht="12" customHeight="1" x14ac:dyDescent="0.2">
      <c r="A54" s="220" t="s">
        <v>103</v>
      </c>
      <c r="B54" s="6" t="s">
        <v>170</v>
      </c>
      <c r="C54" s="1024"/>
    </row>
    <row r="55" spans="1:6" ht="12" customHeight="1" x14ac:dyDescent="0.2">
      <c r="A55" s="220" t="s">
        <v>104</v>
      </c>
      <c r="B55" s="5" t="s">
        <v>150</v>
      </c>
      <c r="C55" s="652">
        <f>600000-600000</f>
        <v>0</v>
      </c>
    </row>
    <row r="56" spans="1:6" ht="12" customHeight="1" x14ac:dyDescent="0.2">
      <c r="A56" s="220" t="s">
        <v>105</v>
      </c>
      <c r="B56" s="5" t="s">
        <v>58</v>
      </c>
      <c r="C56" s="652"/>
    </row>
    <row r="57" spans="1:6" ht="15" customHeight="1" thickBot="1" x14ac:dyDescent="0.25">
      <c r="A57" s="220" t="s">
        <v>106</v>
      </c>
      <c r="B57" s="5" t="s">
        <v>514</v>
      </c>
      <c r="C57" s="652"/>
    </row>
    <row r="58" spans="1:6" ht="13.5" thickBot="1" x14ac:dyDescent="0.25">
      <c r="A58" s="76" t="s">
        <v>21</v>
      </c>
      <c r="B58" s="56" t="s">
        <v>13</v>
      </c>
      <c r="C58" s="657"/>
    </row>
    <row r="59" spans="1:6" ht="15" customHeight="1" thickBot="1" x14ac:dyDescent="0.25">
      <c r="A59" s="76" t="s">
        <v>22</v>
      </c>
      <c r="B59" s="99" t="s">
        <v>515</v>
      </c>
      <c r="C59" s="665">
        <f>+C47+C53+C58</f>
        <v>233523394</v>
      </c>
    </row>
    <row r="60" spans="1:6" ht="14.25" customHeight="1" thickBot="1" x14ac:dyDescent="0.25">
      <c r="C60" s="666"/>
    </row>
    <row r="61" spans="1:6" x14ac:dyDescent="0.2">
      <c r="A61" s="770" t="s">
        <v>508</v>
      </c>
      <c r="B61" s="771"/>
      <c r="C61" s="772">
        <v>22.5</v>
      </c>
      <c r="E61" s="564"/>
      <c r="F61" s="564"/>
    </row>
    <row r="62" spans="1:6" ht="13.5" customHeight="1" thickBot="1" x14ac:dyDescent="0.25">
      <c r="A62" s="1469" t="s">
        <v>1021</v>
      </c>
      <c r="B62" s="1470"/>
      <c r="C62" s="773"/>
      <c r="E62" s="931"/>
      <c r="F62" s="93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908" customWidth="1"/>
    <col min="4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3" ht="12.75" customHeight="1" x14ac:dyDescent="0.2">
      <c r="A1" s="1468" t="str">
        <f>CONCATENATE("9.5.2. melléklet"," ",ALAPADATOK!A7," ",ALAPADATOK!B7," ",ALAPADATOK!C7," ",ALAPADATOK!D7," ",ALAPADATOK!E7," ",ALAPADATOK!F7," ",ALAPADATOK!G7," ",ALAPADATOK!H7)</f>
        <v>9.5.2.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1154"/>
    </row>
    <row r="3" spans="1:3" s="225" customFormat="1" ht="33.75" customHeight="1" x14ac:dyDescent="0.2">
      <c r="A3" s="182" t="s">
        <v>164</v>
      </c>
      <c r="B3" s="161" t="s">
        <v>521</v>
      </c>
      <c r="C3" s="174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2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020"/>
    </row>
    <row r="12" spans="1:3" s="176" customFormat="1" ht="12" customHeight="1" x14ac:dyDescent="0.2">
      <c r="A12" s="220" t="s">
        <v>99</v>
      </c>
      <c r="B12" s="5" t="s">
        <v>222</v>
      </c>
      <c r="C12" s="1020"/>
    </row>
    <row r="13" spans="1:3" s="176" customFormat="1" ht="12" customHeight="1" x14ac:dyDescent="0.2">
      <c r="A13" s="220" t="s">
        <v>100</v>
      </c>
      <c r="B13" s="5" t="s">
        <v>223</v>
      </c>
      <c r="C13" s="1020"/>
    </row>
    <row r="14" spans="1:3" s="176" customFormat="1" ht="12" customHeight="1" x14ac:dyDescent="0.2">
      <c r="A14" s="220" t="s">
        <v>123</v>
      </c>
      <c r="B14" s="5" t="s">
        <v>224</v>
      </c>
      <c r="C14" s="1020"/>
    </row>
    <row r="15" spans="1:3" s="176" customFormat="1" ht="12" customHeight="1" x14ac:dyDescent="0.2">
      <c r="A15" s="220" t="s">
        <v>101</v>
      </c>
      <c r="B15" s="5" t="s">
        <v>345</v>
      </c>
      <c r="C15" s="1020"/>
    </row>
    <row r="16" spans="1:3" s="176" customFormat="1" ht="12" customHeight="1" x14ac:dyDescent="0.2">
      <c r="A16" s="220" t="s">
        <v>102</v>
      </c>
      <c r="B16" s="4" t="s">
        <v>346</v>
      </c>
      <c r="C16" s="1020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1020"/>
    </row>
    <row r="19" spans="1:3" s="228" customFormat="1" ht="12" customHeight="1" x14ac:dyDescent="0.2">
      <c r="A19" s="220" t="s">
        <v>114</v>
      </c>
      <c r="B19" s="5" t="s">
        <v>440</v>
      </c>
      <c r="C19" s="473"/>
    </row>
    <row r="20" spans="1:3" s="228" customFormat="1" ht="12" customHeight="1" thickBot="1" x14ac:dyDescent="0.25">
      <c r="A20" s="220" t="s">
        <v>115</v>
      </c>
      <c r="B20" s="4" t="s">
        <v>229</v>
      </c>
      <c r="C20" s="473"/>
    </row>
    <row r="21" spans="1:3" s="176" customFormat="1" ht="12" customHeight="1" thickBot="1" x14ac:dyDescent="0.25">
      <c r="A21" s="73" t="s">
        <v>20</v>
      </c>
      <c r="B21" s="90" t="s">
        <v>347</v>
      </c>
      <c r="C21" s="1022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20"/>
    </row>
    <row r="24" spans="1:3" s="228" customFormat="1" ht="12" customHeight="1" x14ac:dyDescent="0.2">
      <c r="A24" s="220" t="s">
        <v>105</v>
      </c>
      <c r="B24" s="5" t="s">
        <v>349</v>
      </c>
      <c r="C24" s="1025"/>
    </row>
    <row r="25" spans="1:3" s="228" customFormat="1" ht="12" customHeight="1" thickBot="1" x14ac:dyDescent="0.25">
      <c r="A25" s="220" t="s">
        <v>106</v>
      </c>
      <c r="B25" s="5" t="s">
        <v>511</v>
      </c>
      <c r="C25" s="1020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2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1019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1021"/>
    </row>
    <row r="32" spans="1:3" s="228" customFormat="1" ht="12" customHeight="1" thickBot="1" x14ac:dyDescent="0.25">
      <c r="A32" s="76" t="s">
        <v>23</v>
      </c>
      <c r="B32" s="56" t="s">
        <v>351</v>
      </c>
      <c r="C32" s="1022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1019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176" customFormat="1" ht="12" customHeight="1" thickBot="1" x14ac:dyDescent="0.25">
      <c r="A35" s="220" t="s">
        <v>92</v>
      </c>
      <c r="B35" s="59" t="s">
        <v>236</v>
      </c>
      <c r="C35" s="1021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23">
        <f>+C9+C21+C26+C27+C32+C36+C37</f>
        <v>0</v>
      </c>
    </row>
    <row r="39" spans="1:3" s="176" customFormat="1" ht="12" customHeight="1" thickBot="1" x14ac:dyDescent="0.25">
      <c r="A39" s="1152" t="s">
        <v>27</v>
      </c>
      <c r="B39" s="56" t="s">
        <v>354</v>
      </c>
      <c r="C39" s="1023">
        <f>+C40+C41+C42</f>
        <v>0</v>
      </c>
    </row>
    <row r="40" spans="1:3" s="176" customFormat="1" ht="12" customHeight="1" x14ac:dyDescent="0.2">
      <c r="A40" s="221" t="s">
        <v>355</v>
      </c>
      <c r="B40" s="222" t="s">
        <v>179</v>
      </c>
      <c r="C40" s="1019"/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1021"/>
    </row>
    <row r="43" spans="1:3" s="228" customFormat="1" ht="15" customHeight="1" thickBot="1" x14ac:dyDescent="0.25">
      <c r="A43" s="1152" t="s">
        <v>28</v>
      </c>
      <c r="B43" s="1153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s="227" customFormat="1" ht="16.5" customHeight="1" thickBot="1" x14ac:dyDescent="0.25">
      <c r="A45" s="95"/>
      <c r="B45" s="96"/>
      <c r="C45" s="170"/>
    </row>
    <row r="46" spans="1:3" s="229" customFormat="1" ht="12" customHeight="1" thickBot="1" x14ac:dyDescent="0.25">
      <c r="A46" s="97"/>
      <c r="B46" s="98" t="s">
        <v>57</v>
      </c>
      <c r="C46" s="171"/>
    </row>
    <row r="47" spans="1:3" ht="12" customHeight="1" thickBot="1" x14ac:dyDescent="0.25">
      <c r="A47" s="76" t="s">
        <v>19</v>
      </c>
      <c r="B47" s="56" t="s">
        <v>360</v>
      </c>
      <c r="C47" s="1022">
        <f>SUM(C48:C52)</f>
        <v>0</v>
      </c>
    </row>
    <row r="48" spans="1:3" ht="12" customHeight="1" x14ac:dyDescent="0.2">
      <c r="A48" s="220" t="s">
        <v>97</v>
      </c>
      <c r="B48" s="6" t="s">
        <v>49</v>
      </c>
      <c r="C48" s="1024"/>
    </row>
    <row r="49" spans="1:3" ht="12" customHeight="1" x14ac:dyDescent="0.2">
      <c r="A49" s="220" t="s">
        <v>98</v>
      </c>
      <c r="B49" s="5" t="s">
        <v>146</v>
      </c>
      <c r="C49" s="1025"/>
    </row>
    <row r="50" spans="1:3" ht="12" customHeight="1" x14ac:dyDescent="0.2">
      <c r="A50" s="220" t="s">
        <v>99</v>
      </c>
      <c r="B50" s="5" t="s">
        <v>122</v>
      </c>
      <c r="C50" s="1025"/>
    </row>
    <row r="51" spans="1:3" ht="12" customHeight="1" x14ac:dyDescent="0.2">
      <c r="A51" s="220" t="s">
        <v>100</v>
      </c>
      <c r="B51" s="5" t="s">
        <v>147</v>
      </c>
      <c r="C51" s="1020"/>
    </row>
    <row r="52" spans="1:3" ht="12" customHeight="1" thickBot="1" x14ac:dyDescent="0.25">
      <c r="A52" s="220" t="s">
        <v>123</v>
      </c>
      <c r="B52" s="5" t="s">
        <v>148</v>
      </c>
      <c r="C52" s="1020"/>
    </row>
    <row r="53" spans="1:3" s="229" customFormat="1" ht="12" customHeight="1" thickBot="1" x14ac:dyDescent="0.25">
      <c r="A53" s="76" t="s">
        <v>20</v>
      </c>
      <c r="B53" s="56" t="s">
        <v>361</v>
      </c>
      <c r="C53" s="1022">
        <f>SUM(C54:C56)</f>
        <v>0</v>
      </c>
    </row>
    <row r="54" spans="1:3" ht="12" customHeight="1" x14ac:dyDescent="0.2">
      <c r="A54" s="220" t="s">
        <v>103</v>
      </c>
      <c r="B54" s="6" t="s">
        <v>170</v>
      </c>
      <c r="C54" s="1024"/>
    </row>
    <row r="55" spans="1:3" ht="12" customHeight="1" x14ac:dyDescent="0.2">
      <c r="A55" s="220" t="s">
        <v>104</v>
      </c>
      <c r="B55" s="5" t="s">
        <v>150</v>
      </c>
      <c r="C55" s="1020"/>
    </row>
    <row r="56" spans="1:3" ht="12" customHeight="1" x14ac:dyDescent="0.2">
      <c r="A56" s="220" t="s">
        <v>105</v>
      </c>
      <c r="B56" s="5" t="s">
        <v>58</v>
      </c>
      <c r="C56" s="1020"/>
    </row>
    <row r="57" spans="1:3" ht="15" customHeight="1" thickBot="1" x14ac:dyDescent="0.25">
      <c r="A57" s="220" t="s">
        <v>106</v>
      </c>
      <c r="B57" s="5" t="s">
        <v>514</v>
      </c>
      <c r="C57" s="1020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5" customHeight="1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4.25" customHeight="1" thickBot="1" x14ac:dyDescent="0.25">
      <c r="C60" s="356"/>
    </row>
    <row r="61" spans="1:3" ht="13.5" thickBot="1" x14ac:dyDescent="0.25">
      <c r="A61" s="101" t="s">
        <v>508</v>
      </c>
      <c r="B61" s="102"/>
      <c r="C61" s="47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10" workbookViewId="0">
      <selection activeCell="C34" sqref="C34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4" width="9.33203125" style="908" customWidth="1"/>
    <col min="5" max="5" width="11.83203125" style="931" hidden="1" customWidth="1"/>
    <col min="6" max="6" width="12.5" style="931" hidden="1" customWidth="1"/>
    <col min="7" max="8" width="9.33203125" style="908" customWidth="1"/>
    <col min="9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6" ht="12.75" customHeight="1" x14ac:dyDescent="0.2">
      <c r="A1" s="1468" t="str">
        <f>CONCATENATE("9.6. melléklet"," ",ALAPADATOK!A7," ",ALAPADATOK!B7," ",ALAPADATOK!C7," ",ALAPADATOK!D7," ",ALAPADATOK!E7," ",ALAPADATOK!F7," ",ALAPADATOK!G7," ",ALAPADATOK!H7)</f>
        <v>9.6. melléklet a 2 / 2021. ( II.15. ) önkormányzati rendelethez</v>
      </c>
      <c r="B1" s="1468"/>
      <c r="C1" s="1468"/>
    </row>
    <row r="2" spans="1:6" s="80" customFormat="1" ht="21" customHeight="1" thickBot="1" x14ac:dyDescent="0.25">
      <c r="A2" s="79"/>
      <c r="B2" s="81"/>
      <c r="C2" s="1151"/>
      <c r="E2" s="931"/>
      <c r="F2" s="931"/>
    </row>
    <row r="3" spans="1:6" s="225" customFormat="1" ht="33.75" customHeight="1" x14ac:dyDescent="0.2">
      <c r="A3" s="182" t="s">
        <v>164</v>
      </c>
      <c r="B3" s="161" t="s">
        <v>530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50">
        <f>SUM(C10:C20)</f>
        <v>198993045</v>
      </c>
      <c r="E9" s="564">
        <f>'9.6.1. sz. mell Kornisné Kp. '!C9+'9.6.2. sz. mell Kornisné Kp.'!C9+'9.6.3. sz. mell Kornisné Kp '!C9</f>
        <v>198993045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1"/>
      <c r="E10" s="564">
        <f>'9.6.1. sz. mell Kornisné Kp. '!C10+'9.6.2. sz. mell Kornisné Kp.'!C10+'9.6.3. sz. mell Kornisné Kp '!C10</f>
        <v>0</v>
      </c>
      <c r="F10" s="564">
        <f t="shared" ref="F10:F64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52">
        <v>11413000</v>
      </c>
      <c r="E11" s="564">
        <f>'9.6.1. sz. mell Kornisné Kp. '!C11+'9.6.2. sz. mell Kornisné Kp.'!C11+'9.6.3. sz. mell Kornisné Kp '!C11</f>
        <v>11413000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52">
        <v>10090000</v>
      </c>
      <c r="E12" s="564">
        <f>'9.6.1. sz. mell Kornisné Kp. '!C12+'9.6.2. sz. mell Kornisné Kp.'!C12+'9.6.3. sz. mell Kornisné Kp '!C12</f>
        <v>10090000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52"/>
      <c r="E13" s="564">
        <f>'9.6.1. sz. mell Kornisné Kp. '!C13+'9.6.2. sz. mell Kornisné Kp.'!C13+'9.6.3. sz. mell Kornisné Kp 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52">
        <v>173575135</v>
      </c>
      <c r="E14" s="564">
        <f>'9.6.1. sz. mell Kornisné Kp. '!C14+'9.6.2. sz. mell Kornisné Kp.'!C14+'9.6.3. sz. mell Kornisné Kp '!C14</f>
        <v>173575135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52">
        <v>3914910</v>
      </c>
      <c r="E15" s="564">
        <f>'9.6.1. sz. mell Kornisné Kp. '!C15+'9.6.2. sz. mell Kornisné Kp.'!C15+'9.6.3. sz. mell Kornisné Kp '!C15</f>
        <v>3914910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52"/>
      <c r="E16" s="564">
        <f>'9.6.1. sz. mell Kornisné Kp. '!C16+'9.6.2. sz. mell Kornisné Kp.'!C16+'9.6.3. sz. mell Kornisné Kp '!C16</f>
        <v>0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3"/>
      <c r="E17" s="564">
        <f>'9.6.1. sz. mell Kornisné Kp. '!C17+'9.6.2. sz. mell Kornisné Kp.'!C17+'9.6.3. sz. mell Kornisné Kp 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2"/>
      <c r="E18" s="564">
        <f>'9.6.1. sz. mell Kornisné Kp. '!C18+'9.6.2. sz. mell Kornisné Kp.'!C18+'9.6.3. sz. mell Kornisné Kp 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4"/>
      <c r="E19" s="564">
        <f>'9.6.1. sz. mell Kornisné Kp. '!C19+'9.6.2. sz. mell Kornisné Kp.'!C19+'9.6.3. sz. mell Kornisné Kp 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4"/>
      <c r="E20" s="564">
        <f>'9.6.1. sz. mell Kornisné Kp. '!C20+'9.6.2. sz. mell Kornisné Kp.'!C20+'9.6.3. sz. mell Kornisné Kp '!C20</f>
        <v>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1022">
        <f>SUM(C22:C24)</f>
        <v>90180220</v>
      </c>
      <c r="E21" s="564">
        <f>'9.6.1. sz. mell Kornisné Kp. '!C21+'9.6.2. sz. mell Kornisné Kp.'!C21+'9.6.3. sz. mell Kornisné Kp '!C21</f>
        <v>90180220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2"/>
      <c r="E22" s="564">
        <f>'9.6.1. sz. mell Kornisné Kp. '!C22+'9.6.2. sz. mell Kornisné Kp.'!C22+'9.6.3. sz. mell Kornisné Kp 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2"/>
      <c r="E23" s="564">
        <f>'9.6.1. sz. mell Kornisné Kp. '!C23+'9.6.2. sz. mell Kornisné Kp.'!C23+'9.6.3. sz. mell Kornisné Kp 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1020">
        <v>90180220</v>
      </c>
      <c r="E24" s="564">
        <f>'9.6.1. sz. mell Kornisné Kp. '!C24+'9.6.2. sz. mell Kornisné Kp.'!C24+'9.6.3. sz. mell Kornisné Kp '!C24</f>
        <v>90180220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2">
        <v>73588685</v>
      </c>
      <c r="E25" s="564">
        <f>'9.6.1. sz. mell Kornisné Kp. '!C25+'9.6.2. sz. mell Kornisné Kp.'!C25+'9.6.3. sz. mell Kornisné Kp '!C25</f>
        <v>73588685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7"/>
      <c r="E26" s="564">
        <f>'9.6.1. sz. mell Kornisné Kp. '!C26+'9.6.2. sz. mell Kornisné Kp.'!C26+'9.6.3. sz. mell Kornisné Kp 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50">
        <f>+C28+C29+C30</f>
        <v>10078381</v>
      </c>
      <c r="E27" s="564">
        <f>'9.6.1. sz. mell Kornisné Kp. '!C27+'9.6.2. sz. mell Kornisné Kp.'!C27+'9.6.3. sz. mell Kornisné Kp '!C27</f>
        <v>10078381</v>
      </c>
      <c r="F27" s="564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58"/>
      <c r="E28" s="564">
        <f>'9.6.1. sz. mell Kornisné Kp. '!C28+'9.6.2. sz. mell Kornisné Kp.'!C28+'9.6.3. sz. mell Kornisné Kp '!C28</f>
        <v>0</v>
      </c>
      <c r="F28" s="564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55"/>
      <c r="E29" s="564">
        <f>'9.6.1. sz. mell Kornisné Kp. '!C29+'9.6.2. sz. mell Kornisné Kp.'!C29+'9.6.3. sz. mell Kornisné Kp '!C29</f>
        <v>0</v>
      </c>
      <c r="F29" s="564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52">
        <v>10078381</v>
      </c>
      <c r="E30" s="564">
        <f>'9.6.1. sz. mell Kornisné Kp. '!C30+'9.6.2. sz. mell Kornisné Kp.'!C30+'9.6.3. sz. mell Kornisné Kp '!C30</f>
        <v>10078381</v>
      </c>
      <c r="F30" s="564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59">
        <v>1193800</v>
      </c>
      <c r="E31" s="564">
        <f>'9.6.1. sz. mell Kornisné Kp. '!C31+'9.6.2. sz. mell Kornisné Kp.'!C31+'9.6.3. sz. mell Kornisné Kp '!C31</f>
        <v>1193800</v>
      </c>
      <c r="F31" s="564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  <c r="E32" s="564">
        <f>'9.6.1. sz. mell Kornisné Kp. '!C32+'9.6.2. sz. mell Kornisné Kp.'!C32+'9.6.3. sz. mell Kornisné Kp '!C32</f>
        <v>0</v>
      </c>
      <c r="F32" s="564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58"/>
      <c r="E33" s="564">
        <f>'9.6.1. sz. mell Kornisné Kp. '!C33+'9.6.2. sz. mell Kornisné Kp.'!C33+'9.6.3. sz. mell Kornisné Kp '!C33</f>
        <v>0</v>
      </c>
      <c r="F33" s="564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53"/>
      <c r="E34" s="564">
        <f>'9.6.1. sz. mell Kornisné Kp. '!C34+'9.6.2. sz. mell Kornisné Kp.'!C34+'9.6.3. sz. mell Kornisné Kp '!C34</f>
        <v>0</v>
      </c>
      <c r="F34" s="564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59"/>
      <c r="E35" s="564">
        <f>'9.6.1. sz. mell Kornisné Kp. '!C35+'9.6.2. sz. mell Kornisné Kp.'!C35+'9.6.3. sz. mell Kornisné Kp '!C35</f>
        <v>0</v>
      </c>
      <c r="F35" s="564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1104"/>
      <c r="E36" s="564">
        <f>'9.6.1. sz. mell Kornisné Kp. '!C36+'9.6.2. sz. mell Kornisné Kp.'!C36+'9.6.3. sz. mell Kornisné Kp '!C36</f>
        <v>0</v>
      </c>
      <c r="F36" s="564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1134"/>
      <c r="E37" s="564">
        <f>'9.6.1. sz. mell Kornisné Kp. '!C37+'9.6.2. sz. mell Kornisné Kp.'!C37+'9.6.3. sz. mell Kornisné Kp '!C37</f>
        <v>0</v>
      </c>
      <c r="F37" s="564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299251646</v>
      </c>
      <c r="E38" s="564">
        <f>'9.6.1. sz. mell Kornisné Kp. '!C38+'9.6.2. sz. mell Kornisné Kp.'!C38+'9.6.3. sz. mell Kornisné Kp '!C38</f>
        <v>299251646</v>
      </c>
      <c r="F38" s="564">
        <f t="shared" si="0"/>
        <v>0</v>
      </c>
    </row>
    <row r="39" spans="1:6" s="176" customFormat="1" ht="12" customHeight="1" thickBot="1" x14ac:dyDescent="0.25">
      <c r="A39" s="1152" t="s">
        <v>27</v>
      </c>
      <c r="B39" s="56" t="s">
        <v>354</v>
      </c>
      <c r="C39" s="661">
        <f>SUM(C40:C42)</f>
        <v>657615940</v>
      </c>
      <c r="E39" s="564">
        <f>'9.6.1. sz. mell Kornisné Kp. '!C39+'9.6.2. sz. mell Kornisné Kp.'!C39+'9.6.3. sz. mell Kornisné Kp '!C39</f>
        <v>657615940</v>
      </c>
      <c r="F39" s="564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58">
        <v>6030423</v>
      </c>
      <c r="E40" s="564">
        <f>'9.6.1. sz. mell Kornisné Kp. '!C40+'9.6.2. sz. mell Kornisné Kp.'!C40+'9.6.3. sz. mell Kornisné Kp '!C40</f>
        <v>6030423</v>
      </c>
      <c r="F40" s="564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53"/>
      <c r="E41" s="564">
        <f>'9.6.1. sz. mell Kornisné Kp. '!C41+'9.6.2. sz. mell Kornisné Kp.'!C41+'9.6.3. sz. mell Kornisné Kp '!C41</f>
        <v>0</v>
      </c>
      <c r="F41" s="564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659">
        <v>651585517</v>
      </c>
      <c r="E42" s="564">
        <f>'9.6.1. sz. mell Kornisné Kp. '!C42+'9.6.2. sz. mell Kornisné Kp.'!C42+'9.6.3. sz. mell Kornisné Kp '!C42</f>
        <v>651585517</v>
      </c>
      <c r="F42" s="564">
        <f t="shared" si="0"/>
        <v>0</v>
      </c>
    </row>
    <row r="43" spans="1:6" s="228" customFormat="1" ht="15" customHeight="1" thickBot="1" x14ac:dyDescent="0.25">
      <c r="A43" s="1152" t="s">
        <v>28</v>
      </c>
      <c r="B43" s="1153" t="s">
        <v>359</v>
      </c>
      <c r="C43" s="661">
        <f>+C38+C39</f>
        <v>956867586</v>
      </c>
      <c r="E43" s="564">
        <f>'9.6.1. sz. mell Kornisné Kp. '!C43+'9.6.2. sz. mell Kornisné Kp.'!C43+'9.6.3. sz. mell Kornisné Kp '!C43</f>
        <v>956867586</v>
      </c>
      <c r="F43" s="564">
        <f t="shared" si="0"/>
        <v>0</v>
      </c>
    </row>
    <row r="44" spans="1:6" x14ac:dyDescent="0.2">
      <c r="A44" s="93"/>
      <c r="B44" s="94"/>
      <c r="C44" s="663"/>
      <c r="E44" s="564">
        <f>'9.6.1. sz. mell Kornisné Kp. '!C44+'9.6.2. sz. mell Kornisné Kp.'!C44+'9.6.3. sz. mell Kornisné Kp '!C44</f>
        <v>0</v>
      </c>
      <c r="F44" s="564">
        <f t="shared" si="0"/>
        <v>0</v>
      </c>
    </row>
    <row r="45" spans="1:6" s="227" customFormat="1" ht="16.5" customHeight="1" thickBot="1" x14ac:dyDescent="0.25">
      <c r="A45" s="95"/>
      <c r="B45" s="96"/>
      <c r="C45" s="664"/>
      <c r="E45" s="564">
        <f>'9.6.1. sz. mell Kornisné Kp. '!C45+'9.6.2. sz. mell Kornisné Kp.'!C45+'9.6.3. sz. mell Kornisné Kp '!C45</f>
        <v>0</v>
      </c>
      <c r="F45" s="564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62"/>
      <c r="E46" s="564">
        <f>'9.6.1. sz. mell Kornisné Kp. '!C46+'9.6.2. sz. mell Kornisné Kp.'!C46+'9.6.3. sz. mell Kornisné Kp '!C46</f>
        <v>0</v>
      </c>
      <c r="F46" s="564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50">
        <f>SUM(C48:C52)</f>
        <v>941985555</v>
      </c>
      <c r="E47" s="564">
        <f>'9.6.1. sz. mell Kornisné Kp. '!C47+'9.6.2. sz. mell Kornisné Kp.'!C47+'9.6.3. sz. mell Kornisné Kp '!C47</f>
        <v>941985555</v>
      </c>
      <c r="F47" s="564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658">
        <f>615034869</f>
        <v>615034869</v>
      </c>
      <c r="E48" s="564">
        <f>'9.6.1. sz. mell Kornisné Kp. '!C48+'9.6.2. sz. mell Kornisné Kp.'!C48+'9.6.3. sz. mell Kornisné Kp '!C48</f>
        <v>615034869</v>
      </c>
      <c r="F48" s="564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652">
        <f>105575946</f>
        <v>105575946</v>
      </c>
      <c r="E49" s="564">
        <f>'9.6.1. sz. mell Kornisné Kp. '!C49+'9.6.2. sz. mell Kornisné Kp.'!C49+'9.6.3. sz. mell Kornisné Kp '!C49</f>
        <v>105575946</v>
      </c>
      <c r="F49" s="564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652">
        <f>221374740</f>
        <v>221374740</v>
      </c>
      <c r="E50" s="564">
        <f>'9.6.1. sz. mell Kornisné Kp. '!C50+'9.6.2. sz. mell Kornisné Kp.'!C50+'9.6.3. sz. mell Kornisné Kp '!C50</f>
        <v>221374740</v>
      </c>
      <c r="F50" s="564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52"/>
      <c r="E51" s="564">
        <f>'9.6.1. sz. mell Kornisné Kp. '!C51+'9.6.2. sz. mell Kornisné Kp.'!C51+'9.6.3. sz. mell Kornisné Kp '!C51</f>
        <v>0</v>
      </c>
      <c r="F51" s="564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52"/>
      <c r="E52" s="564">
        <f>'9.6.1. sz. mell Kornisné Kp. '!C52+'9.6.2. sz. mell Kornisné Kp.'!C52+'9.6.3. sz. mell Kornisné Kp '!C52</f>
        <v>0</v>
      </c>
      <c r="F52" s="564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50">
        <f>SUM(C54:C56)</f>
        <v>14882031</v>
      </c>
      <c r="E53" s="564">
        <f>'9.6.1. sz. mell Kornisné Kp. '!C53+'9.6.2. sz. mell Kornisné Kp.'!C53+'9.6.3. sz. mell Kornisné Kp '!C53</f>
        <v>14882031</v>
      </c>
      <c r="F53" s="564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658">
        <v>14882031</v>
      </c>
      <c r="E54" s="564">
        <f>'9.6.1. sz. mell Kornisné Kp. '!C54+'9.6.2. sz. mell Kornisné Kp.'!C54+'9.6.3. sz. mell Kornisné Kp '!C54</f>
        <v>14882031</v>
      </c>
      <c r="F54" s="564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52"/>
      <c r="E55" s="564">
        <f>'9.6.1. sz. mell Kornisné Kp. '!C55+'9.6.2. sz. mell Kornisné Kp.'!C55+'9.6.3. sz. mell Kornisné Kp '!C55</f>
        <v>0</v>
      </c>
      <c r="F55" s="564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52"/>
      <c r="E56" s="564">
        <f>'9.6.1. sz. mell Kornisné Kp. '!C56+'9.6.2. sz. mell Kornisné Kp.'!C56+'9.6.3. sz. mell Kornisné Kp '!C56</f>
        <v>0</v>
      </c>
      <c r="F56" s="564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52"/>
      <c r="E57" s="564">
        <f>'9.6.1. sz. mell Kornisné Kp. '!C57+'9.6.2. sz. mell Kornisné Kp.'!C57+'9.6.3. sz. mell Kornisné Kp '!C57</f>
        <v>0</v>
      </c>
      <c r="F57" s="564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57"/>
      <c r="E58" s="564">
        <f>'9.6.1. sz. mell Kornisné Kp. '!C58+'9.6.2. sz. mell Kornisné Kp.'!C58+'9.6.3. sz. mell Kornisné Kp '!C58</f>
        <v>0</v>
      </c>
      <c r="F58" s="564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65">
        <f>+C47+C53+C58</f>
        <v>956867586</v>
      </c>
      <c r="E59" s="564">
        <f>'9.6.1. sz. mell Kornisné Kp. '!C59+'9.6.2. sz. mell Kornisné Kp.'!C59+'9.6.3. sz. mell Kornisné Kp '!C59</f>
        <v>956867586</v>
      </c>
      <c r="F59" s="564">
        <f t="shared" si="0"/>
        <v>0</v>
      </c>
    </row>
    <row r="60" spans="1:6" ht="14.25" customHeight="1" thickBot="1" x14ac:dyDescent="0.25">
      <c r="C60" s="666"/>
      <c r="E60" s="564">
        <f>'9.6.1. sz. mell Kornisné Kp. '!C60+'9.6.2. sz. mell Kornisné Kp.'!C60+'9.6.3. sz. mell Kornisné Kp '!C60</f>
        <v>0</v>
      </c>
      <c r="F60" s="564">
        <f t="shared" si="0"/>
        <v>0</v>
      </c>
    </row>
    <row r="61" spans="1:6" ht="13.5" thickBot="1" x14ac:dyDescent="0.25">
      <c r="A61" s="101" t="s">
        <v>508</v>
      </c>
      <c r="B61" s="102"/>
      <c r="C61" s="667">
        <v>151</v>
      </c>
      <c r="E61" s="564">
        <f>'9.6.1. sz. mell Kornisné Kp. '!C61+'9.6.2. sz. mell Kornisné Kp.'!C61+'9.6.3. sz. mell Kornisné Kp '!C61</f>
        <v>151</v>
      </c>
      <c r="F61" s="564">
        <f t="shared" si="0"/>
        <v>0</v>
      </c>
    </row>
    <row r="62" spans="1:6" s="373" customFormat="1" ht="13.9" customHeight="1" thickBot="1" x14ac:dyDescent="0.25">
      <c r="A62" s="679" t="s">
        <v>743</v>
      </c>
      <c r="B62" s="678"/>
      <c r="C62" s="680">
        <v>2</v>
      </c>
      <c r="E62" s="564"/>
      <c r="F62" s="564"/>
    </row>
    <row r="63" spans="1:6" s="373" customFormat="1" ht="13.9" customHeight="1" thickBot="1" x14ac:dyDescent="0.25">
      <c r="A63" s="1471"/>
      <c r="B63" s="1472"/>
      <c r="C63" s="681"/>
      <c r="E63" s="564">
        <f>'9.6.1. sz. mell Kornisné Kp. '!C62+'9.6.2. sz. mell Kornisné Kp.'!C63+'9.6.3. sz. mell Kornisné Kp '!C62</f>
        <v>0</v>
      </c>
      <c r="F63" s="564">
        <f t="shared" si="0"/>
        <v>0</v>
      </c>
    </row>
    <row r="64" spans="1:6" s="373" customFormat="1" ht="19.899999999999999" customHeight="1" thickBot="1" x14ac:dyDescent="0.25">
      <c r="A64" s="1473" t="s">
        <v>569</v>
      </c>
      <c r="B64" s="1474"/>
      <c r="C64" s="1155"/>
      <c r="E64" s="564">
        <f>'9.6.1. sz. mell Kornisné Kp. '!C63+'9.6.2. sz. mell Kornisné Kp.'!C64+'9.6.3. sz. mell Kornisné Kp '!C63</f>
        <v>0</v>
      </c>
      <c r="F64" s="564">
        <f t="shared" si="0"/>
        <v>0</v>
      </c>
    </row>
    <row r="65" spans="1:3" ht="13.5" thickBot="1" x14ac:dyDescent="0.25">
      <c r="A65" s="1475" t="s">
        <v>1022</v>
      </c>
      <c r="B65" s="1476"/>
      <c r="C65" s="1155">
        <v>50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37" zoomScale="130" zoomScaleNormal="130" workbookViewId="0">
      <selection activeCell="B50" sqref="B50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3" ht="12.75" customHeight="1" x14ac:dyDescent="0.2">
      <c r="A1" s="1468" t="str">
        <f>CONCATENATE("9.6.1. melléklet"," ",ALAPADATOK!A7," ",ALAPADATOK!B7," ",ALAPADATOK!C7," ",ALAPADATOK!D7," ",ALAPADATOK!E7," ",ALAPADATOK!F7," ",ALAPADATOK!G7," ",ALAPADATOK!H7)</f>
        <v>9.6.1.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1151"/>
    </row>
    <row r="3" spans="1:3" s="225" customFormat="1" ht="35.25" customHeight="1" x14ac:dyDescent="0.2">
      <c r="A3" s="182" t="s">
        <v>164</v>
      </c>
      <c r="B3" s="161" t="s">
        <v>530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60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50">
        <f>SUM(C10:C20)</f>
        <v>11942910</v>
      </c>
    </row>
    <row r="10" spans="1:3" s="176" customFormat="1" ht="12" customHeight="1" x14ac:dyDescent="0.2">
      <c r="A10" s="219" t="s">
        <v>97</v>
      </c>
      <c r="B10" s="7" t="s">
        <v>220</v>
      </c>
      <c r="C10" s="651"/>
    </row>
    <row r="11" spans="1:3" s="176" customFormat="1" ht="12" customHeight="1" x14ac:dyDescent="0.2">
      <c r="A11" s="220" t="s">
        <v>98</v>
      </c>
      <c r="B11" s="5" t="s">
        <v>221</v>
      </c>
      <c r="C11" s="652">
        <v>9333000</v>
      </c>
    </row>
    <row r="12" spans="1:3" s="176" customFormat="1" ht="12" customHeight="1" x14ac:dyDescent="0.2">
      <c r="A12" s="220" t="s">
        <v>99</v>
      </c>
      <c r="B12" s="5" t="s">
        <v>222</v>
      </c>
      <c r="C12" s="652">
        <v>90000</v>
      </c>
    </row>
    <row r="13" spans="1:3" s="176" customFormat="1" ht="12" customHeight="1" x14ac:dyDescent="0.2">
      <c r="A13" s="220" t="s">
        <v>100</v>
      </c>
      <c r="B13" s="5" t="s">
        <v>223</v>
      </c>
      <c r="C13" s="652"/>
    </row>
    <row r="14" spans="1:3" s="176" customFormat="1" ht="12" customHeight="1" x14ac:dyDescent="0.2">
      <c r="A14" s="220" t="s">
        <v>123</v>
      </c>
      <c r="B14" s="5" t="s">
        <v>224</v>
      </c>
      <c r="C14" s="652"/>
    </row>
    <row r="15" spans="1:3" s="176" customFormat="1" ht="12" customHeight="1" x14ac:dyDescent="0.2">
      <c r="A15" s="220" t="s">
        <v>101</v>
      </c>
      <c r="B15" s="5" t="s">
        <v>345</v>
      </c>
      <c r="C15" s="652">
        <v>2519910</v>
      </c>
    </row>
    <row r="16" spans="1:3" s="176" customFormat="1" ht="12" customHeight="1" x14ac:dyDescent="0.2">
      <c r="A16" s="220" t="s">
        <v>102</v>
      </c>
      <c r="B16" s="4" t="s">
        <v>346</v>
      </c>
      <c r="C16" s="652"/>
    </row>
    <row r="17" spans="1:3" s="176" customFormat="1" ht="12" customHeight="1" x14ac:dyDescent="0.2">
      <c r="A17" s="220" t="s">
        <v>112</v>
      </c>
      <c r="B17" s="5" t="s">
        <v>227</v>
      </c>
      <c r="C17" s="653"/>
    </row>
    <row r="18" spans="1:3" s="228" customFormat="1" ht="12" customHeight="1" x14ac:dyDescent="0.2">
      <c r="A18" s="220" t="s">
        <v>113</v>
      </c>
      <c r="B18" s="5" t="s">
        <v>228</v>
      </c>
      <c r="C18" s="652"/>
    </row>
    <row r="19" spans="1:3" s="228" customFormat="1" ht="12" customHeight="1" x14ac:dyDescent="0.2">
      <c r="A19" s="220" t="s">
        <v>114</v>
      </c>
      <c r="B19" s="5" t="s">
        <v>440</v>
      </c>
      <c r="C19" s="654"/>
    </row>
    <row r="20" spans="1:3" s="228" customFormat="1" ht="12" customHeight="1" thickBot="1" x14ac:dyDescent="0.25">
      <c r="A20" s="220" t="s">
        <v>115</v>
      </c>
      <c r="B20" s="4" t="s">
        <v>229</v>
      </c>
      <c r="C20" s="654"/>
    </row>
    <row r="21" spans="1:3" s="176" customFormat="1" ht="12" customHeight="1" thickBot="1" x14ac:dyDescent="0.25">
      <c r="A21" s="73" t="s">
        <v>20</v>
      </c>
      <c r="B21" s="90" t="s">
        <v>347</v>
      </c>
      <c r="C21" s="65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5"/>
    </row>
    <row r="23" spans="1:3" s="228" customFormat="1" ht="12" customHeight="1" x14ac:dyDescent="0.2">
      <c r="A23" s="220" t="s">
        <v>104</v>
      </c>
      <c r="B23" s="5" t="s">
        <v>348</v>
      </c>
      <c r="C23" s="652"/>
    </row>
    <row r="24" spans="1:3" s="228" customFormat="1" ht="12" customHeight="1" x14ac:dyDescent="0.2">
      <c r="A24" s="220" t="s">
        <v>105</v>
      </c>
      <c r="B24" s="5" t="s">
        <v>349</v>
      </c>
      <c r="C24" s="652"/>
    </row>
    <row r="25" spans="1:3" s="228" customFormat="1" ht="12" customHeight="1" thickBot="1" x14ac:dyDescent="0.25">
      <c r="A25" s="220" t="s">
        <v>106</v>
      </c>
      <c r="B25" s="5" t="s">
        <v>511</v>
      </c>
      <c r="C25" s="652"/>
    </row>
    <row r="26" spans="1:3" s="228" customFormat="1" ht="12" customHeight="1" thickBot="1" x14ac:dyDescent="0.25">
      <c r="A26" s="76" t="s">
        <v>21</v>
      </c>
      <c r="B26" s="56" t="s">
        <v>137</v>
      </c>
      <c r="C26" s="657"/>
    </row>
    <row r="27" spans="1:3" s="228" customFormat="1" ht="12" customHeight="1" thickBot="1" x14ac:dyDescent="0.25">
      <c r="A27" s="76" t="s">
        <v>22</v>
      </c>
      <c r="B27" s="56" t="s">
        <v>512</v>
      </c>
      <c r="C27" s="65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8"/>
    </row>
    <row r="29" spans="1:3" s="228" customFormat="1" ht="12" customHeight="1" x14ac:dyDescent="0.2">
      <c r="A29" s="221" t="s">
        <v>211</v>
      </c>
      <c r="B29" s="222" t="s">
        <v>348</v>
      </c>
      <c r="C29" s="655"/>
    </row>
    <row r="30" spans="1:3" s="228" customFormat="1" ht="12" customHeight="1" x14ac:dyDescent="0.2">
      <c r="A30" s="221" t="s">
        <v>212</v>
      </c>
      <c r="B30" s="223" t="s">
        <v>350</v>
      </c>
      <c r="C30" s="655"/>
    </row>
    <row r="31" spans="1:3" s="228" customFormat="1" ht="12" customHeight="1" thickBot="1" x14ac:dyDescent="0.25">
      <c r="A31" s="220" t="s">
        <v>213</v>
      </c>
      <c r="B31" s="59" t="s">
        <v>513</v>
      </c>
      <c r="C31" s="659"/>
    </row>
    <row r="32" spans="1:3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8"/>
    </row>
    <row r="34" spans="1:3" s="228" customFormat="1" ht="12" customHeight="1" x14ac:dyDescent="0.2">
      <c r="A34" s="221" t="s">
        <v>91</v>
      </c>
      <c r="B34" s="223" t="s">
        <v>235</v>
      </c>
      <c r="C34" s="653"/>
    </row>
    <row r="35" spans="1:3" s="176" customFormat="1" ht="12" customHeight="1" thickBot="1" x14ac:dyDescent="0.25">
      <c r="A35" s="220" t="s">
        <v>92</v>
      </c>
      <c r="B35" s="59" t="s">
        <v>236</v>
      </c>
      <c r="C35" s="659"/>
    </row>
    <row r="36" spans="1:3" s="176" customFormat="1" ht="12" customHeight="1" thickBot="1" x14ac:dyDescent="0.25">
      <c r="A36" s="76" t="s">
        <v>24</v>
      </c>
      <c r="B36" s="56" t="s">
        <v>322</v>
      </c>
      <c r="C36" s="1104"/>
    </row>
    <row r="37" spans="1:3" s="176" customFormat="1" ht="12" customHeight="1" thickBot="1" x14ac:dyDescent="0.25">
      <c r="A37" s="76" t="s">
        <v>25</v>
      </c>
      <c r="B37" s="56" t="s">
        <v>352</v>
      </c>
      <c r="C37" s="660"/>
    </row>
    <row r="38" spans="1:3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11942910</v>
      </c>
    </row>
    <row r="39" spans="1:3" s="176" customFormat="1" ht="12" customHeight="1" thickBot="1" x14ac:dyDescent="0.25">
      <c r="A39" s="1152" t="s">
        <v>27</v>
      </c>
      <c r="B39" s="56" t="s">
        <v>354</v>
      </c>
      <c r="C39" s="661">
        <f>+C40+C41+C42</f>
        <v>181915087</v>
      </c>
    </row>
    <row r="40" spans="1:3" s="176" customFormat="1" ht="12" customHeight="1" x14ac:dyDescent="0.2">
      <c r="A40" s="221" t="s">
        <v>355</v>
      </c>
      <c r="B40" s="222" t="s">
        <v>179</v>
      </c>
      <c r="C40" s="658">
        <v>3783981</v>
      </c>
    </row>
    <row r="41" spans="1:3" s="228" customFormat="1" ht="12" customHeight="1" x14ac:dyDescent="0.2">
      <c r="A41" s="221" t="s">
        <v>356</v>
      </c>
      <c r="B41" s="223" t="s">
        <v>7</v>
      </c>
      <c r="C41" s="653"/>
    </row>
    <row r="42" spans="1:3" s="228" customFormat="1" ht="15" customHeight="1" thickBot="1" x14ac:dyDescent="0.25">
      <c r="A42" s="220" t="s">
        <v>357</v>
      </c>
      <c r="B42" s="59" t="s">
        <v>358</v>
      </c>
      <c r="C42" s="659">
        <v>178131106</v>
      </c>
    </row>
    <row r="43" spans="1:3" s="228" customFormat="1" ht="15" customHeight="1" thickBot="1" x14ac:dyDescent="0.25">
      <c r="A43" s="1152" t="s">
        <v>28</v>
      </c>
      <c r="B43" s="1153" t="s">
        <v>359</v>
      </c>
      <c r="C43" s="1023">
        <f>+C38+C39</f>
        <v>193857997</v>
      </c>
    </row>
    <row r="44" spans="1:3" x14ac:dyDescent="0.2">
      <c r="A44" s="93"/>
      <c r="B44" s="94"/>
      <c r="C44" s="663"/>
    </row>
    <row r="45" spans="1:3" s="227" customFormat="1" ht="16.5" customHeight="1" thickBot="1" x14ac:dyDescent="0.25">
      <c r="A45" s="95"/>
      <c r="B45" s="96"/>
      <c r="C45" s="664"/>
    </row>
    <row r="46" spans="1:3" s="229" customFormat="1" ht="12" customHeight="1" thickBot="1" x14ac:dyDescent="0.25">
      <c r="A46" s="97"/>
      <c r="B46" s="98" t="s">
        <v>57</v>
      </c>
      <c r="C46" s="662"/>
    </row>
    <row r="47" spans="1:3" ht="12" customHeight="1" thickBot="1" x14ac:dyDescent="0.25">
      <c r="A47" s="76" t="s">
        <v>19</v>
      </c>
      <c r="B47" s="56" t="s">
        <v>360</v>
      </c>
      <c r="C47" s="650">
        <f>SUM(C48:C52)</f>
        <v>193502147</v>
      </c>
    </row>
    <row r="48" spans="1:3" ht="12" customHeight="1" x14ac:dyDescent="0.2">
      <c r="A48" s="220" t="s">
        <v>97</v>
      </c>
      <c r="B48" s="6" t="s">
        <v>49</v>
      </c>
      <c r="C48" s="1019">
        <v>144481249</v>
      </c>
    </row>
    <row r="49" spans="1:3" ht="12" customHeight="1" x14ac:dyDescent="0.2">
      <c r="A49" s="220" t="s">
        <v>98</v>
      </c>
      <c r="B49" s="5" t="s">
        <v>146</v>
      </c>
      <c r="C49" s="652">
        <v>23886312</v>
      </c>
    </row>
    <row r="50" spans="1:3" ht="12" customHeight="1" x14ac:dyDescent="0.2">
      <c r="A50" s="220" t="s">
        <v>99</v>
      </c>
      <c r="B50" s="5" t="s">
        <v>122</v>
      </c>
      <c r="C50" s="652">
        <v>25134586</v>
      </c>
    </row>
    <row r="51" spans="1:3" ht="12" customHeight="1" x14ac:dyDescent="0.2">
      <c r="A51" s="220" t="s">
        <v>100</v>
      </c>
      <c r="B51" s="5" t="s">
        <v>147</v>
      </c>
      <c r="C51" s="652"/>
    </row>
    <row r="52" spans="1:3" ht="12" customHeight="1" thickBot="1" x14ac:dyDescent="0.25">
      <c r="A52" s="220" t="s">
        <v>123</v>
      </c>
      <c r="B52" s="5" t="s">
        <v>148</v>
      </c>
      <c r="C52" s="652"/>
    </row>
    <row r="53" spans="1:3" s="229" customFormat="1" ht="12" customHeight="1" thickBot="1" x14ac:dyDescent="0.25">
      <c r="A53" s="76" t="s">
        <v>20</v>
      </c>
      <c r="B53" s="56" t="s">
        <v>361</v>
      </c>
      <c r="C53" s="650">
        <f>SUM(C54:C56)</f>
        <v>355850</v>
      </c>
    </row>
    <row r="54" spans="1:3" ht="12" customHeight="1" x14ac:dyDescent="0.2">
      <c r="A54" s="220" t="s">
        <v>103</v>
      </c>
      <c r="B54" s="6" t="s">
        <v>170</v>
      </c>
      <c r="C54" s="658">
        <v>355850</v>
      </c>
    </row>
    <row r="55" spans="1:3" ht="12" customHeight="1" x14ac:dyDescent="0.2">
      <c r="A55" s="220" t="s">
        <v>104</v>
      </c>
      <c r="B55" s="5" t="s">
        <v>150</v>
      </c>
      <c r="C55" s="652"/>
    </row>
    <row r="56" spans="1:3" ht="12" customHeight="1" x14ac:dyDescent="0.2">
      <c r="A56" s="220" t="s">
        <v>105</v>
      </c>
      <c r="B56" s="5" t="s">
        <v>58</v>
      </c>
      <c r="C56" s="652"/>
    </row>
    <row r="57" spans="1:3" ht="15" customHeight="1" thickBot="1" x14ac:dyDescent="0.25">
      <c r="A57" s="220" t="s">
        <v>106</v>
      </c>
      <c r="B57" s="5" t="s">
        <v>514</v>
      </c>
      <c r="C57" s="652"/>
    </row>
    <row r="58" spans="1:3" ht="13.5" thickBot="1" x14ac:dyDescent="0.25">
      <c r="A58" s="76" t="s">
        <v>21</v>
      </c>
      <c r="B58" s="56" t="s">
        <v>13</v>
      </c>
      <c r="C58" s="657"/>
    </row>
    <row r="59" spans="1:3" ht="15" customHeight="1" thickBot="1" x14ac:dyDescent="0.25">
      <c r="A59" s="76" t="s">
        <v>22</v>
      </c>
      <c r="B59" s="99" t="s">
        <v>515</v>
      </c>
      <c r="C59" s="1022">
        <f>+C47+C53+C58</f>
        <v>193857997</v>
      </c>
    </row>
    <row r="60" spans="1:3" ht="14.25" customHeight="1" thickBot="1" x14ac:dyDescent="0.25">
      <c r="C60" s="666"/>
    </row>
    <row r="61" spans="1:3" ht="13.5" thickBot="1" x14ac:dyDescent="0.25">
      <c r="A61" s="101" t="s">
        <v>508</v>
      </c>
      <c r="B61" s="102"/>
      <c r="C61" s="667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9"/>
  <sheetViews>
    <sheetView zoomScale="115" zoomScaleNormal="115" zoomScaleSheetLayoutView="100" workbookViewId="0">
      <selection activeCell="B12" sqref="B12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305" customWidth="1"/>
    <col min="4" max="4" width="19.33203125" style="189" hidden="1" customWidth="1"/>
    <col min="5" max="5" width="15.83203125" style="189" hidden="1" customWidth="1"/>
    <col min="6" max="6" width="15.33203125" style="189" hidden="1" customWidth="1"/>
    <col min="7" max="9" width="0" style="189" hidden="1" customWidth="1"/>
    <col min="10" max="16384" width="9.33203125" style="189"/>
  </cols>
  <sheetData>
    <row r="1" spans="1:6" s="801" customFormat="1" x14ac:dyDescent="0.25">
      <c r="A1" s="1421" t="str">
        <f>CONCATENATE("1.3. melléklet"," ",ALAPADATOK!A7," ",ALAPADATOK!B7," ",ALAPADATOK!C7," ",ALAPADATOK!D7," ",ALAPADATOK!E7," ",ALAPADATOK!F7," ",ALAPADATOK!G7," ",ALAPADATOK!H7)</f>
        <v>1.3. melléklet a 2 / 2021. ( II.15. ) önkormányzati rendelethez</v>
      </c>
      <c r="B1" s="1421"/>
      <c r="C1" s="1421"/>
    </row>
    <row r="2" spans="1:6" s="961" customFormat="1" x14ac:dyDescent="0.25">
      <c r="A2" s="823"/>
      <c r="B2" s="823"/>
      <c r="C2" s="823"/>
    </row>
    <row r="3" spans="1:6" s="801" customFormat="1" x14ac:dyDescent="0.25">
      <c r="A3" s="1419" t="str">
        <f>CONCATENATE(ALAPADATOK!A3)</f>
        <v>Tiszavasvári Város Önkormányzat</v>
      </c>
      <c r="B3" s="1419"/>
      <c r="C3" s="1419"/>
    </row>
    <row r="4" spans="1:6" s="801" customFormat="1" x14ac:dyDescent="0.25">
      <c r="A4" s="1420" t="str">
        <f>CONCATENATE(ALAPADATOK!D7," ÉVI KÖLTSÉGVETÉS")</f>
        <v>2021. ÉVI KÖLTSÉGVETÉS</v>
      </c>
      <c r="B4" s="1420"/>
      <c r="C4" s="1420"/>
    </row>
    <row r="5" spans="1:6" s="801" customFormat="1" x14ac:dyDescent="0.25">
      <c r="A5" s="1420" t="s">
        <v>766</v>
      </c>
      <c r="B5" s="1420"/>
      <c r="C5" s="1420"/>
    </row>
    <row r="6" spans="1:6" s="801" customFormat="1" x14ac:dyDescent="0.25">
      <c r="A6" s="800"/>
      <c r="B6" s="800"/>
      <c r="C6" s="305"/>
    </row>
    <row r="7" spans="1:6" ht="15.95" customHeight="1" x14ac:dyDescent="0.25">
      <c r="A7" s="1423" t="s">
        <v>16</v>
      </c>
      <c r="B7" s="1423"/>
      <c r="C7" s="1423"/>
      <c r="D7" s="178"/>
      <c r="E7" s="178"/>
      <c r="F7" s="178"/>
    </row>
    <row r="8" spans="1:6" ht="15.95" customHeight="1" thickBot="1" x14ac:dyDescent="0.3">
      <c r="A8" s="1425"/>
      <c r="B8" s="1425"/>
      <c r="C8" s="125" t="s">
        <v>539</v>
      </c>
      <c r="D8" s="178"/>
      <c r="E8" s="178"/>
      <c r="F8" s="178"/>
    </row>
    <row r="9" spans="1:6" ht="38.1" customHeight="1" thickBot="1" x14ac:dyDescent="0.3">
      <c r="A9" s="20" t="s">
        <v>70</v>
      </c>
      <c r="B9" s="21" t="s">
        <v>18</v>
      </c>
      <c r="C9" s="29" t="s">
        <v>851</v>
      </c>
      <c r="D9" s="178" t="s">
        <v>545</v>
      </c>
      <c r="E9" s="178" t="s">
        <v>546</v>
      </c>
      <c r="F9" s="178" t="s">
        <v>547</v>
      </c>
    </row>
    <row r="10" spans="1:6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6" s="191" customFormat="1" ht="12" customHeight="1" thickBot="1" x14ac:dyDescent="0.25">
      <c r="A11" s="17" t="s">
        <v>19</v>
      </c>
      <c r="B11" s="18" t="s">
        <v>192</v>
      </c>
      <c r="C11" s="116">
        <f t="shared" ref="C11:C75" si="0">SUM(D11:F11)</f>
        <v>312152317</v>
      </c>
      <c r="D11" s="276">
        <f>+D12+D13+D14+D17+D18+D19</f>
        <v>312152317</v>
      </c>
      <c r="E11" s="116">
        <f>+E12+E13+E14+E17+E18+E19</f>
        <v>0</v>
      </c>
      <c r="F11" s="116">
        <f>+F12+F13+F14+F17+F18+F19</f>
        <v>0</v>
      </c>
    </row>
    <row r="12" spans="1:6" s="191" customFormat="1" ht="12" customHeight="1" x14ac:dyDescent="0.2">
      <c r="A12" s="12" t="s">
        <v>97</v>
      </c>
      <c r="B12" s="192" t="s">
        <v>193</v>
      </c>
      <c r="C12" s="187">
        <f t="shared" si="0"/>
        <v>0</v>
      </c>
      <c r="D12" s="278"/>
      <c r="E12" s="230"/>
      <c r="F12" s="118"/>
    </row>
    <row r="13" spans="1:6" s="191" customFormat="1" ht="12" customHeight="1" x14ac:dyDescent="0.2">
      <c r="A13" s="11" t="s">
        <v>98</v>
      </c>
      <c r="B13" s="193" t="s">
        <v>194</v>
      </c>
      <c r="C13" s="302">
        <f t="shared" si="0"/>
        <v>0</v>
      </c>
      <c r="D13" s="105"/>
      <c r="E13" s="120"/>
      <c r="F13" s="117"/>
    </row>
    <row r="14" spans="1:6" s="191" customFormat="1" ht="12" customHeight="1" x14ac:dyDescent="0.2">
      <c r="A14" s="11" t="s">
        <v>99</v>
      </c>
      <c r="B14" s="193" t="s">
        <v>820</v>
      </c>
      <c r="C14" s="299">
        <f t="shared" si="0"/>
        <v>312152317</v>
      </c>
      <c r="D14" s="105">
        <f>D15+D16</f>
        <v>312152317</v>
      </c>
      <c r="E14" s="120"/>
      <c r="F14" s="117"/>
    </row>
    <row r="15" spans="1:6" s="191" customFormat="1" ht="12" customHeight="1" x14ac:dyDescent="0.2">
      <c r="A15" s="11" t="s">
        <v>818</v>
      </c>
      <c r="B15" s="193" t="s">
        <v>821</v>
      </c>
      <c r="C15" s="302">
        <f t="shared" si="0"/>
        <v>312152317</v>
      </c>
      <c r="D15" s="105">
        <v>312152317</v>
      </c>
      <c r="E15" s="120"/>
      <c r="F15" s="117"/>
    </row>
    <row r="16" spans="1:6" s="191" customFormat="1" ht="12" customHeight="1" x14ac:dyDescent="0.2">
      <c r="A16" s="11" t="s">
        <v>819</v>
      </c>
      <c r="B16" s="193" t="s">
        <v>822</v>
      </c>
      <c r="C16" s="302">
        <f t="shared" si="0"/>
        <v>0</v>
      </c>
      <c r="D16" s="105"/>
      <c r="E16" s="120"/>
      <c r="F16" s="117"/>
    </row>
    <row r="17" spans="1:6" s="191" customFormat="1" ht="12" customHeight="1" x14ac:dyDescent="0.2">
      <c r="A17" s="11" t="s">
        <v>100</v>
      </c>
      <c r="B17" s="193" t="s">
        <v>196</v>
      </c>
      <c r="C17" s="302">
        <f t="shared" si="0"/>
        <v>0</v>
      </c>
      <c r="D17" s="105"/>
      <c r="E17" s="120"/>
      <c r="F17" s="117"/>
    </row>
    <row r="18" spans="1:6" s="191" customFormat="1" ht="12" customHeight="1" x14ac:dyDescent="0.2">
      <c r="A18" s="11" t="s">
        <v>123</v>
      </c>
      <c r="B18" s="112" t="s">
        <v>437</v>
      </c>
      <c r="C18" s="302">
        <f t="shared" si="0"/>
        <v>0</v>
      </c>
      <c r="D18" s="265"/>
      <c r="E18" s="120"/>
      <c r="F18" s="1029"/>
    </row>
    <row r="19" spans="1:6" s="191" customFormat="1" ht="12" customHeight="1" thickBot="1" x14ac:dyDescent="0.25">
      <c r="A19" s="13" t="s">
        <v>101</v>
      </c>
      <c r="B19" s="113" t="s">
        <v>438</v>
      </c>
      <c r="C19" s="303">
        <f t="shared" si="0"/>
        <v>0</v>
      </c>
      <c r="D19" s="105"/>
      <c r="E19" s="117"/>
      <c r="F19" s="117"/>
    </row>
    <row r="20" spans="1:6" s="191" customFormat="1" ht="12" customHeight="1" thickBot="1" x14ac:dyDescent="0.25">
      <c r="A20" s="17" t="s">
        <v>20</v>
      </c>
      <c r="B20" s="111" t="s">
        <v>197</v>
      </c>
      <c r="C20" s="116">
        <f t="shared" si="0"/>
        <v>231398812</v>
      </c>
      <c r="D20" s="276">
        <f>+D21+D22+D23+D24+D25</f>
        <v>131599793</v>
      </c>
      <c r="E20" s="116">
        <f>+E21+E22+E23+E24+E25</f>
        <v>0</v>
      </c>
      <c r="F20" s="116">
        <f>+F21+F22+F23+F24+F25</f>
        <v>99799019</v>
      </c>
    </row>
    <row r="21" spans="1:6" s="191" customFormat="1" ht="12" customHeight="1" x14ac:dyDescent="0.2">
      <c r="A21" s="12" t="s">
        <v>103</v>
      </c>
      <c r="B21" s="192" t="s">
        <v>198</v>
      </c>
      <c r="C21" s="187">
        <f t="shared" si="0"/>
        <v>0</v>
      </c>
      <c r="D21" s="278"/>
      <c r="E21" s="118"/>
      <c r="F21" s="118"/>
    </row>
    <row r="22" spans="1:6" s="191" customFormat="1" ht="12" customHeight="1" x14ac:dyDescent="0.2">
      <c r="A22" s="11" t="s">
        <v>104</v>
      </c>
      <c r="B22" s="193" t="s">
        <v>199</v>
      </c>
      <c r="C22" s="302">
        <f t="shared" si="0"/>
        <v>0</v>
      </c>
      <c r="D22" s="105"/>
      <c r="E22" s="117"/>
      <c r="F22" s="117"/>
    </row>
    <row r="23" spans="1:6" s="191" customFormat="1" ht="12" customHeight="1" x14ac:dyDescent="0.2">
      <c r="A23" s="11" t="s">
        <v>105</v>
      </c>
      <c r="B23" s="193" t="s">
        <v>367</v>
      </c>
      <c r="C23" s="302">
        <f t="shared" si="0"/>
        <v>0</v>
      </c>
      <c r="D23" s="105"/>
      <c r="E23" s="117"/>
      <c r="F23" s="117"/>
    </row>
    <row r="24" spans="1:6" s="191" customFormat="1" ht="12" customHeight="1" x14ac:dyDescent="0.2">
      <c r="A24" s="11" t="s">
        <v>106</v>
      </c>
      <c r="B24" s="193" t="s">
        <v>368</v>
      </c>
      <c r="C24" s="302">
        <f t="shared" si="0"/>
        <v>0</v>
      </c>
      <c r="D24" s="105"/>
      <c r="E24" s="117"/>
      <c r="F24" s="117"/>
    </row>
    <row r="25" spans="1:6" s="191" customFormat="1" ht="12" customHeight="1" x14ac:dyDescent="0.2">
      <c r="A25" s="11" t="s">
        <v>107</v>
      </c>
      <c r="B25" s="193" t="s">
        <v>200</v>
      </c>
      <c r="C25" s="299">
        <f t="shared" si="0"/>
        <v>231398812</v>
      </c>
      <c r="D25" s="265">
        <f>131199793+400000</f>
        <v>131599793</v>
      </c>
      <c r="E25" s="120"/>
      <c r="F25" s="1029">
        <f>9618799+90180220</f>
        <v>99799019</v>
      </c>
    </row>
    <row r="26" spans="1:6" s="191" customFormat="1" ht="12" customHeight="1" thickBot="1" x14ac:dyDescent="0.25">
      <c r="A26" s="13" t="s">
        <v>116</v>
      </c>
      <c r="B26" s="113" t="s">
        <v>201</v>
      </c>
      <c r="C26" s="1015">
        <f t="shared" si="0"/>
        <v>83207484</v>
      </c>
      <c r="D26" s="268"/>
      <c r="E26" s="181"/>
      <c r="F26" s="181">
        <v>83207484</v>
      </c>
    </row>
    <row r="27" spans="1:6" s="191" customFormat="1" ht="12" customHeight="1" thickBot="1" x14ac:dyDescent="0.25">
      <c r="A27" s="17" t="s">
        <v>21</v>
      </c>
      <c r="B27" s="18" t="s">
        <v>202</v>
      </c>
      <c r="C27" s="116">
        <f t="shared" si="0"/>
        <v>162029281</v>
      </c>
      <c r="D27" s="276">
        <f>+D28+D29+D30+D31+D32</f>
        <v>100100000</v>
      </c>
      <c r="E27" s="116">
        <f>+E28+E29+E30+E31+E32</f>
        <v>0</v>
      </c>
      <c r="F27" s="116">
        <f>+F28+F29+F30+F31+F32</f>
        <v>61929281</v>
      </c>
    </row>
    <row r="28" spans="1:6" s="191" customFormat="1" ht="12" customHeight="1" x14ac:dyDescent="0.2">
      <c r="A28" s="12" t="s">
        <v>86</v>
      </c>
      <c r="B28" s="192" t="s">
        <v>203</v>
      </c>
      <c r="C28" s="187">
        <f t="shared" si="0"/>
        <v>0</v>
      </c>
      <c r="D28" s="278"/>
      <c r="E28" s="577"/>
      <c r="F28" s="118"/>
    </row>
    <row r="29" spans="1:6" s="191" customFormat="1" ht="12" customHeight="1" x14ac:dyDescent="0.2">
      <c r="A29" s="11" t="s">
        <v>87</v>
      </c>
      <c r="B29" s="193" t="s">
        <v>204</v>
      </c>
      <c r="C29" s="302">
        <f t="shared" si="0"/>
        <v>0</v>
      </c>
      <c r="D29" s="105"/>
      <c r="E29" s="120"/>
      <c r="F29" s="117"/>
    </row>
    <row r="30" spans="1:6" s="191" customFormat="1" ht="12" customHeight="1" x14ac:dyDescent="0.2">
      <c r="A30" s="11" t="s">
        <v>88</v>
      </c>
      <c r="B30" s="193" t="s">
        <v>369</v>
      </c>
      <c r="C30" s="302">
        <f t="shared" si="0"/>
        <v>0</v>
      </c>
      <c r="D30" s="105"/>
      <c r="E30" s="120"/>
      <c r="F30" s="117"/>
    </row>
    <row r="31" spans="1:6" s="191" customFormat="1" ht="12" customHeight="1" x14ac:dyDescent="0.2">
      <c r="A31" s="11" t="s">
        <v>89</v>
      </c>
      <c r="B31" s="193" t="s">
        <v>370</v>
      </c>
      <c r="C31" s="302">
        <f t="shared" si="0"/>
        <v>0</v>
      </c>
      <c r="D31" s="105"/>
      <c r="E31" s="120"/>
      <c r="F31" s="117"/>
    </row>
    <row r="32" spans="1:6" s="191" customFormat="1" ht="12" customHeight="1" x14ac:dyDescent="0.2">
      <c r="A32" s="11" t="s">
        <v>134</v>
      </c>
      <c r="B32" s="193" t="s">
        <v>205</v>
      </c>
      <c r="C32" s="299">
        <f t="shared" si="0"/>
        <v>162029281</v>
      </c>
      <c r="D32" s="265">
        <v>100100000</v>
      </c>
      <c r="E32" s="120"/>
      <c r="F32" s="1029">
        <f>51850900+10078381</f>
        <v>61929281</v>
      </c>
    </row>
    <row r="33" spans="1:11" s="191" customFormat="1" ht="12" customHeight="1" thickBot="1" x14ac:dyDescent="0.25">
      <c r="A33" s="13" t="s">
        <v>135</v>
      </c>
      <c r="B33" s="194" t="s">
        <v>206</v>
      </c>
      <c r="C33" s="1015">
        <f t="shared" si="0"/>
        <v>53044700</v>
      </c>
      <c r="D33" s="268"/>
      <c r="E33" s="181"/>
      <c r="F33" s="181">
        <v>53044700</v>
      </c>
    </row>
    <row r="34" spans="1:11" s="191" customFormat="1" ht="12" customHeight="1" thickBot="1" x14ac:dyDescent="0.25">
      <c r="A34" s="17" t="s">
        <v>136</v>
      </c>
      <c r="B34" s="18" t="s">
        <v>207</v>
      </c>
      <c r="C34" s="304">
        <f t="shared" si="0"/>
        <v>0</v>
      </c>
      <c r="D34" s="279">
        <f>+D35+D39+D40</f>
        <v>0</v>
      </c>
      <c r="E34" s="279">
        <f>+E35+E39+E40</f>
        <v>0</v>
      </c>
      <c r="F34" s="279">
        <f>+F35+F39+F40</f>
        <v>0</v>
      </c>
      <c r="K34" s="1124"/>
    </row>
    <row r="35" spans="1:11" s="191" customFormat="1" ht="12" customHeight="1" x14ac:dyDescent="0.2">
      <c r="A35" s="12" t="s">
        <v>208</v>
      </c>
      <c r="B35" s="192" t="s">
        <v>626</v>
      </c>
      <c r="C35" s="187">
        <f t="shared" si="0"/>
        <v>0</v>
      </c>
      <c r="D35" s="293">
        <f>SUM(D36:D37)</f>
        <v>0</v>
      </c>
      <c r="E35" s="293">
        <f>SUM(E36:E37)</f>
        <v>0</v>
      </c>
      <c r="F35" s="293">
        <f>SUM(F36:F37)</f>
        <v>0</v>
      </c>
    </row>
    <row r="36" spans="1:11" s="191" customFormat="1" ht="12" customHeight="1" x14ac:dyDescent="0.2">
      <c r="A36" s="11" t="s">
        <v>209</v>
      </c>
      <c r="B36" s="193" t="s">
        <v>214</v>
      </c>
      <c r="C36" s="302">
        <f t="shared" si="0"/>
        <v>0</v>
      </c>
      <c r="D36" s="105"/>
      <c r="E36" s="117"/>
      <c r="F36" s="117"/>
    </row>
    <row r="37" spans="1:11" s="191" customFormat="1" ht="12" customHeight="1" x14ac:dyDescent="0.2">
      <c r="A37" s="11" t="s">
        <v>210</v>
      </c>
      <c r="B37" s="250" t="s">
        <v>625</v>
      </c>
      <c r="C37" s="302">
        <f t="shared" si="0"/>
        <v>0</v>
      </c>
      <c r="D37" s="105"/>
      <c r="E37" s="117"/>
      <c r="F37" s="117"/>
    </row>
    <row r="38" spans="1:11" s="191" customFormat="1" ht="12" customHeight="1" x14ac:dyDescent="0.2">
      <c r="A38" s="11" t="s">
        <v>211</v>
      </c>
      <c r="B38" s="193" t="s">
        <v>523</v>
      </c>
      <c r="C38" s="302">
        <f t="shared" si="0"/>
        <v>0</v>
      </c>
      <c r="D38" s="105"/>
      <c r="E38" s="120"/>
      <c r="F38" s="117"/>
    </row>
    <row r="39" spans="1:11" s="191" customFormat="1" ht="12" customHeight="1" x14ac:dyDescent="0.2">
      <c r="A39" s="11" t="s">
        <v>213</v>
      </c>
      <c r="B39" s="193" t="s">
        <v>216</v>
      </c>
      <c r="C39" s="302">
        <f t="shared" si="0"/>
        <v>0</v>
      </c>
      <c r="D39" s="105"/>
      <c r="E39" s="117"/>
      <c r="F39" s="117"/>
    </row>
    <row r="40" spans="1:11" s="191" customFormat="1" ht="12" customHeight="1" thickBot="1" x14ac:dyDescent="0.25">
      <c r="A40" s="13" t="s">
        <v>525</v>
      </c>
      <c r="B40" s="194" t="s">
        <v>217</v>
      </c>
      <c r="C40" s="303">
        <f t="shared" si="0"/>
        <v>0</v>
      </c>
      <c r="D40" s="106"/>
      <c r="E40" s="181"/>
      <c r="F40" s="119"/>
    </row>
    <row r="41" spans="1:11" s="191" customFormat="1" ht="12" customHeight="1" thickBot="1" x14ac:dyDescent="0.25">
      <c r="A41" s="17" t="s">
        <v>23</v>
      </c>
      <c r="B41" s="18" t="s">
        <v>439</v>
      </c>
      <c r="C41" s="116">
        <f t="shared" si="0"/>
        <v>214529419</v>
      </c>
      <c r="D41" s="276">
        <f>SUM(D42:D52)</f>
        <v>26324300</v>
      </c>
      <c r="E41" s="116">
        <f>SUM(E42:E52)</f>
        <v>0</v>
      </c>
      <c r="F41" s="116">
        <f>SUM(F42:F52)</f>
        <v>188205119</v>
      </c>
    </row>
    <row r="42" spans="1:11" s="191" customFormat="1" ht="12" customHeight="1" x14ac:dyDescent="0.2">
      <c r="A42" s="12" t="s">
        <v>90</v>
      </c>
      <c r="B42" s="192" t="s">
        <v>220</v>
      </c>
      <c r="C42" s="187">
        <f t="shared" si="0"/>
        <v>0</v>
      </c>
      <c r="D42" s="278"/>
      <c r="E42" s="230"/>
      <c r="F42" s="118"/>
    </row>
    <row r="43" spans="1:11" s="191" customFormat="1" ht="12" customHeight="1" x14ac:dyDescent="0.2">
      <c r="A43" s="11" t="s">
        <v>91</v>
      </c>
      <c r="B43" s="193" t="s">
        <v>221</v>
      </c>
      <c r="C43" s="299">
        <f t="shared" si="0"/>
        <v>3539435</v>
      </c>
      <c r="D43" s="265">
        <v>550000</v>
      </c>
      <c r="E43" s="120"/>
      <c r="F43" s="118">
        <f>909435+2080000</f>
        <v>2989435</v>
      </c>
    </row>
    <row r="44" spans="1:11" s="191" customFormat="1" ht="12" customHeight="1" x14ac:dyDescent="0.2">
      <c r="A44" s="11" t="s">
        <v>92</v>
      </c>
      <c r="B44" s="193" t="s">
        <v>222</v>
      </c>
      <c r="C44" s="302">
        <f t="shared" si="0"/>
        <v>10000000</v>
      </c>
      <c r="D44" s="265"/>
      <c r="E44" s="120"/>
      <c r="F44" s="118">
        <v>10000000</v>
      </c>
    </row>
    <row r="45" spans="1:11" s="191" customFormat="1" ht="12" customHeight="1" x14ac:dyDescent="0.2">
      <c r="A45" s="11" t="s">
        <v>138</v>
      </c>
      <c r="B45" s="193" t="s">
        <v>223</v>
      </c>
      <c r="C45" s="302">
        <f t="shared" si="0"/>
        <v>0</v>
      </c>
      <c r="D45" s="105"/>
      <c r="E45" s="120"/>
      <c r="F45" s="118"/>
    </row>
    <row r="46" spans="1:11" s="191" customFormat="1" ht="12" customHeight="1" x14ac:dyDescent="0.2">
      <c r="A46" s="11" t="s">
        <v>139</v>
      </c>
      <c r="B46" s="193" t="s">
        <v>224</v>
      </c>
      <c r="C46" s="299">
        <f t="shared" si="0"/>
        <v>173575135</v>
      </c>
      <c r="D46" s="105"/>
      <c r="E46" s="120"/>
      <c r="F46" s="118">
        <v>173575135</v>
      </c>
    </row>
    <row r="47" spans="1:11" s="191" customFormat="1" ht="12" customHeight="1" x14ac:dyDescent="0.2">
      <c r="A47" s="11" t="s">
        <v>140</v>
      </c>
      <c r="B47" s="193" t="s">
        <v>225</v>
      </c>
      <c r="C47" s="299">
        <f t="shared" si="0"/>
        <v>1789049</v>
      </c>
      <c r="D47" s="105">
        <v>148500</v>
      </c>
      <c r="E47" s="120"/>
      <c r="F47" s="118">
        <f>245549+1395000</f>
        <v>1640549</v>
      </c>
    </row>
    <row r="48" spans="1:11" s="191" customFormat="1" ht="12" customHeight="1" x14ac:dyDescent="0.2">
      <c r="A48" s="11" t="s">
        <v>141</v>
      </c>
      <c r="B48" s="193" t="s">
        <v>226</v>
      </c>
      <c r="C48" s="299">
        <f t="shared" si="0"/>
        <v>25525800</v>
      </c>
      <c r="D48" s="105">
        <v>25525800</v>
      </c>
      <c r="E48" s="120"/>
      <c r="F48" s="118"/>
    </row>
    <row r="49" spans="1:6" s="191" customFormat="1" ht="12" customHeight="1" x14ac:dyDescent="0.2">
      <c r="A49" s="11" t="s">
        <v>142</v>
      </c>
      <c r="B49" s="193" t="s">
        <v>528</v>
      </c>
      <c r="C49" s="302">
        <f t="shared" si="0"/>
        <v>0</v>
      </c>
      <c r="D49" s="105"/>
      <c r="E49" s="120"/>
      <c r="F49" s="1029"/>
    </row>
    <row r="50" spans="1:6" s="191" customFormat="1" ht="12" customHeight="1" x14ac:dyDescent="0.2">
      <c r="A50" s="11" t="s">
        <v>218</v>
      </c>
      <c r="B50" s="193" t="s">
        <v>228</v>
      </c>
      <c r="C50" s="302">
        <f t="shared" si="0"/>
        <v>0</v>
      </c>
      <c r="D50" s="265"/>
      <c r="E50" s="120"/>
      <c r="F50" s="1029"/>
    </row>
    <row r="51" spans="1:6" s="191" customFormat="1" ht="12" customHeight="1" x14ac:dyDescent="0.2">
      <c r="A51" s="13" t="s">
        <v>219</v>
      </c>
      <c r="B51" s="194" t="s">
        <v>440</v>
      </c>
      <c r="C51" s="302">
        <f t="shared" si="0"/>
        <v>0</v>
      </c>
      <c r="D51" s="268"/>
      <c r="E51" s="181"/>
      <c r="F51" s="181"/>
    </row>
    <row r="52" spans="1:6" s="191" customFormat="1" ht="12" customHeight="1" thickBot="1" x14ac:dyDescent="0.25">
      <c r="A52" s="13" t="s">
        <v>441</v>
      </c>
      <c r="B52" s="113" t="s">
        <v>229</v>
      </c>
      <c r="C52" s="1015">
        <f t="shared" si="0"/>
        <v>100000</v>
      </c>
      <c r="D52" s="268">
        <v>100000</v>
      </c>
      <c r="E52" s="181"/>
      <c r="F52" s="181"/>
    </row>
    <row r="53" spans="1:6" s="191" customFormat="1" ht="12" customHeight="1" thickBot="1" x14ac:dyDescent="0.25">
      <c r="A53" s="17" t="s">
        <v>24</v>
      </c>
      <c r="B53" s="18" t="s">
        <v>230</v>
      </c>
      <c r="C53" s="116">
        <f t="shared" si="0"/>
        <v>0</v>
      </c>
      <c r="D53" s="276">
        <f>SUM(D54:D58)</f>
        <v>0</v>
      </c>
      <c r="E53" s="116">
        <f>SUM(E54:E58)</f>
        <v>0</v>
      </c>
      <c r="F53" s="116">
        <f>SUM(F54:F58)</f>
        <v>0</v>
      </c>
    </row>
    <row r="54" spans="1:6" s="191" customFormat="1" ht="12" customHeight="1" x14ac:dyDescent="0.2">
      <c r="A54" s="12" t="s">
        <v>93</v>
      </c>
      <c r="B54" s="192" t="s">
        <v>234</v>
      </c>
      <c r="C54" s="187">
        <f t="shared" si="0"/>
        <v>0</v>
      </c>
      <c r="D54" s="280"/>
      <c r="E54" s="230"/>
      <c r="F54" s="230"/>
    </row>
    <row r="55" spans="1:6" s="191" customFormat="1" ht="12" customHeight="1" x14ac:dyDescent="0.2">
      <c r="A55" s="11" t="s">
        <v>94</v>
      </c>
      <c r="B55" s="193" t="s">
        <v>235</v>
      </c>
      <c r="C55" s="302">
        <f t="shared" si="0"/>
        <v>0</v>
      </c>
      <c r="D55" s="265"/>
      <c r="E55" s="120"/>
      <c r="F55" s="1029"/>
    </row>
    <row r="56" spans="1:6" s="191" customFormat="1" ht="12" customHeight="1" x14ac:dyDescent="0.2">
      <c r="A56" s="11" t="s">
        <v>231</v>
      </c>
      <c r="B56" s="193" t="s">
        <v>236</v>
      </c>
      <c r="C56" s="302">
        <f t="shared" si="0"/>
        <v>0</v>
      </c>
      <c r="D56" s="265"/>
      <c r="E56" s="120"/>
      <c r="F56" s="1029"/>
    </row>
    <row r="57" spans="1:6" s="191" customFormat="1" ht="12" customHeight="1" x14ac:dyDescent="0.2">
      <c r="A57" s="11" t="s">
        <v>232</v>
      </c>
      <c r="B57" s="193" t="s">
        <v>237</v>
      </c>
      <c r="C57" s="302">
        <f t="shared" si="0"/>
        <v>0</v>
      </c>
      <c r="D57" s="265"/>
      <c r="E57" s="120"/>
      <c r="F57" s="1029"/>
    </row>
    <row r="58" spans="1:6" s="191" customFormat="1" ht="12" customHeight="1" thickBot="1" x14ac:dyDescent="0.25">
      <c r="A58" s="13" t="s">
        <v>233</v>
      </c>
      <c r="B58" s="113" t="s">
        <v>238</v>
      </c>
      <c r="C58" s="303">
        <f t="shared" si="0"/>
        <v>0</v>
      </c>
      <c r="D58" s="268"/>
      <c r="E58" s="181"/>
      <c r="F58" s="181"/>
    </row>
    <row r="59" spans="1:6" s="191" customFormat="1" ht="12" customHeight="1" thickBot="1" x14ac:dyDescent="0.25">
      <c r="A59" s="17" t="s">
        <v>143</v>
      </c>
      <c r="B59" s="18" t="s">
        <v>239</v>
      </c>
      <c r="C59" s="116">
        <f t="shared" si="0"/>
        <v>200000</v>
      </c>
      <c r="D59" s="276">
        <f>SUM(D60:D62)</f>
        <v>200000</v>
      </c>
      <c r="E59" s="116">
        <f>SUM(E60:E62)</f>
        <v>0</v>
      </c>
      <c r="F59" s="116">
        <f>SUM(F60:F62)</f>
        <v>0</v>
      </c>
    </row>
    <row r="60" spans="1:6" s="191" customFormat="1" ht="12" customHeight="1" x14ac:dyDescent="0.2">
      <c r="A60" s="12" t="s">
        <v>95</v>
      </c>
      <c r="B60" s="192" t="s">
        <v>240</v>
      </c>
      <c r="C60" s="187">
        <f t="shared" si="0"/>
        <v>0</v>
      </c>
      <c r="D60" s="278"/>
      <c r="E60" s="118"/>
      <c r="F60" s="118"/>
    </row>
    <row r="61" spans="1:6" s="191" customFormat="1" ht="12" customHeight="1" x14ac:dyDescent="0.2">
      <c r="A61" s="11" t="s">
        <v>96</v>
      </c>
      <c r="B61" s="193" t="s">
        <v>371</v>
      </c>
      <c r="C61" s="302">
        <f t="shared" si="0"/>
        <v>200000</v>
      </c>
      <c r="D61" s="265">
        <v>200000</v>
      </c>
      <c r="E61" s="120"/>
      <c r="F61" s="1029"/>
    </row>
    <row r="62" spans="1:6" s="191" customFormat="1" ht="12" customHeight="1" x14ac:dyDescent="0.2">
      <c r="A62" s="11" t="s">
        <v>243</v>
      </c>
      <c r="B62" s="193" t="s">
        <v>241</v>
      </c>
      <c r="C62" s="299">
        <f t="shared" si="0"/>
        <v>0</v>
      </c>
      <c r="D62" s="265"/>
      <c r="E62" s="120"/>
      <c r="F62" s="1029"/>
    </row>
    <row r="63" spans="1:6" s="191" customFormat="1" ht="12" customHeight="1" thickBot="1" x14ac:dyDescent="0.25">
      <c r="A63" s="13" t="s">
        <v>244</v>
      </c>
      <c r="B63" s="113" t="s">
        <v>242</v>
      </c>
      <c r="C63" s="303">
        <f t="shared" si="0"/>
        <v>0</v>
      </c>
      <c r="D63" s="106"/>
      <c r="E63" s="119"/>
      <c r="F63" s="119"/>
    </row>
    <row r="64" spans="1:6" s="191" customFormat="1" ht="12" customHeight="1" thickBot="1" x14ac:dyDescent="0.25">
      <c r="A64" s="17" t="s">
        <v>26</v>
      </c>
      <c r="B64" s="111" t="s">
        <v>245</v>
      </c>
      <c r="C64" s="116">
        <f t="shared" si="0"/>
        <v>0</v>
      </c>
      <c r="D64" s="276">
        <f>SUM(D65:D67)</f>
        <v>0</v>
      </c>
      <c r="E64" s="116">
        <f>SUM(E65:E67)</f>
        <v>0</v>
      </c>
      <c r="F64" s="116">
        <f>SUM(F65:F67)</f>
        <v>0</v>
      </c>
    </row>
    <row r="65" spans="1:6" s="191" customFormat="1" ht="12" customHeight="1" x14ac:dyDescent="0.2">
      <c r="A65" s="12" t="s">
        <v>144</v>
      </c>
      <c r="B65" s="192" t="s">
        <v>247</v>
      </c>
      <c r="C65" s="187">
        <f t="shared" si="0"/>
        <v>0</v>
      </c>
      <c r="D65" s="265"/>
      <c r="E65" s="120"/>
      <c r="F65" s="1029"/>
    </row>
    <row r="66" spans="1:6" s="191" customFormat="1" ht="12" customHeight="1" x14ac:dyDescent="0.2">
      <c r="A66" s="11" t="s">
        <v>145</v>
      </c>
      <c r="B66" s="193" t="s">
        <v>372</v>
      </c>
      <c r="C66" s="302">
        <f t="shared" si="0"/>
        <v>0</v>
      </c>
      <c r="D66" s="265"/>
      <c r="E66" s="120"/>
      <c r="F66" s="1029"/>
    </row>
    <row r="67" spans="1:6" s="191" customFormat="1" ht="12" customHeight="1" x14ac:dyDescent="0.2">
      <c r="A67" s="11" t="s">
        <v>171</v>
      </c>
      <c r="B67" s="193" t="s">
        <v>248</v>
      </c>
      <c r="C67" s="1003">
        <f t="shared" si="0"/>
        <v>0</v>
      </c>
      <c r="D67" s="265"/>
      <c r="E67" s="120"/>
      <c r="F67" s="1029"/>
    </row>
    <row r="68" spans="1:6" s="191" customFormat="1" ht="12" customHeight="1" thickBot="1" x14ac:dyDescent="0.25">
      <c r="A68" s="13" t="s">
        <v>246</v>
      </c>
      <c r="B68" s="113" t="s">
        <v>249</v>
      </c>
      <c r="C68" s="1015">
        <f t="shared" si="0"/>
        <v>0</v>
      </c>
      <c r="D68" s="265"/>
      <c r="E68" s="120"/>
      <c r="F68" s="1029"/>
    </row>
    <row r="69" spans="1:6" s="191" customFormat="1" ht="12" customHeight="1" thickBot="1" x14ac:dyDescent="0.25">
      <c r="A69" s="251" t="s">
        <v>442</v>
      </c>
      <c r="B69" s="18" t="s">
        <v>250</v>
      </c>
      <c r="C69" s="116">
        <f t="shared" si="0"/>
        <v>920309829</v>
      </c>
      <c r="D69" s="279">
        <f>+D11+D20+D27+D34+D41+D53+D59+D64</f>
        <v>570376410</v>
      </c>
      <c r="E69" s="121">
        <f>+E11+E20+E27+E34+E41+E53+E59+E64</f>
        <v>0</v>
      </c>
      <c r="F69" s="121">
        <f>+F11+F20+F27+F34+F41+F53+F59+F64</f>
        <v>349933419</v>
      </c>
    </row>
    <row r="70" spans="1:6" s="191" customFormat="1" ht="12" customHeight="1" thickBot="1" x14ac:dyDescent="0.25">
      <c r="A70" s="252" t="s">
        <v>251</v>
      </c>
      <c r="B70" s="111" t="s">
        <v>252</v>
      </c>
      <c r="C70" s="116">
        <f t="shared" si="0"/>
        <v>0</v>
      </c>
      <c r="D70" s="276">
        <f>SUM(D71:D73)</f>
        <v>0</v>
      </c>
      <c r="E70" s="116">
        <f>SUM(E71:E73)</f>
        <v>0</v>
      </c>
      <c r="F70" s="266">
        <f>SUM(F71:F73)</f>
        <v>0</v>
      </c>
    </row>
    <row r="71" spans="1:6" s="191" customFormat="1" ht="12" customHeight="1" x14ac:dyDescent="0.2">
      <c r="A71" s="12" t="s">
        <v>283</v>
      </c>
      <c r="B71" s="192" t="s">
        <v>253</v>
      </c>
      <c r="C71" s="187">
        <f t="shared" si="0"/>
        <v>0</v>
      </c>
      <c r="D71" s="265"/>
      <c r="E71" s="120"/>
      <c r="F71" s="1029">
        <v>0</v>
      </c>
    </row>
    <row r="72" spans="1:6" s="191" customFormat="1" ht="12" customHeight="1" x14ac:dyDescent="0.2">
      <c r="A72" s="11" t="s">
        <v>292</v>
      </c>
      <c r="B72" s="193" t="s">
        <v>254</v>
      </c>
      <c r="C72" s="302">
        <f t="shared" si="0"/>
        <v>0</v>
      </c>
      <c r="D72" s="265"/>
      <c r="E72" s="120"/>
      <c r="F72" s="1029"/>
    </row>
    <row r="73" spans="1:6" s="191" customFormat="1" ht="12" customHeight="1" thickBot="1" x14ac:dyDescent="0.25">
      <c r="A73" s="13" t="s">
        <v>293</v>
      </c>
      <c r="B73" s="253" t="s">
        <v>443</v>
      </c>
      <c r="C73" s="303">
        <f t="shared" si="0"/>
        <v>0</v>
      </c>
      <c r="D73" s="265"/>
      <c r="E73" s="120"/>
      <c r="F73" s="1029"/>
    </row>
    <row r="74" spans="1:6" s="191" customFormat="1" ht="12" customHeight="1" thickBot="1" x14ac:dyDescent="0.25">
      <c r="A74" s="252" t="s">
        <v>256</v>
      </c>
      <c r="B74" s="111" t="s">
        <v>257</v>
      </c>
      <c r="C74" s="304">
        <f t="shared" si="0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</row>
    <row r="75" spans="1:6" s="191" customFormat="1" ht="12" customHeight="1" x14ac:dyDescent="0.2">
      <c r="A75" s="12" t="s">
        <v>124</v>
      </c>
      <c r="B75" s="192" t="s">
        <v>258</v>
      </c>
      <c r="C75" s="187">
        <f t="shared" si="0"/>
        <v>0</v>
      </c>
      <c r="D75" s="265"/>
      <c r="E75" s="120"/>
      <c r="F75" s="1029"/>
    </row>
    <row r="76" spans="1:6" s="191" customFormat="1" ht="12" customHeight="1" x14ac:dyDescent="0.2">
      <c r="A76" s="11" t="s">
        <v>125</v>
      </c>
      <c r="B76" s="193" t="s">
        <v>863</v>
      </c>
      <c r="C76" s="302">
        <f t="shared" ref="C76:C94" si="1">SUM(D76:F76)</f>
        <v>0</v>
      </c>
      <c r="D76" s="265"/>
      <c r="E76" s="120"/>
      <c r="F76" s="1029"/>
    </row>
    <row r="77" spans="1:6" s="191" customFormat="1" ht="12" customHeight="1" x14ac:dyDescent="0.2">
      <c r="A77" s="11" t="s">
        <v>284</v>
      </c>
      <c r="B77" s="193" t="s">
        <v>260</v>
      </c>
      <c r="C77" s="302">
        <f t="shared" si="1"/>
        <v>0</v>
      </c>
      <c r="D77" s="265"/>
      <c r="E77" s="120"/>
      <c r="F77" s="1029"/>
    </row>
    <row r="78" spans="1:6" s="191" customFormat="1" ht="12" customHeight="1" thickBot="1" x14ac:dyDescent="0.25">
      <c r="A78" s="13" t="s">
        <v>285</v>
      </c>
      <c r="B78" s="113" t="s">
        <v>864</v>
      </c>
      <c r="C78" s="303">
        <f t="shared" si="1"/>
        <v>0</v>
      </c>
      <c r="D78" s="265"/>
      <c r="E78" s="120"/>
      <c r="F78" s="1029"/>
    </row>
    <row r="79" spans="1:6" s="191" customFormat="1" ht="12" customHeight="1" thickBot="1" x14ac:dyDescent="0.25">
      <c r="A79" s="252" t="s">
        <v>262</v>
      </c>
      <c r="B79" s="111" t="s">
        <v>263</v>
      </c>
      <c r="C79" s="116">
        <f t="shared" si="1"/>
        <v>2246442</v>
      </c>
      <c r="D79" s="276">
        <f>SUM(D80:D81)</f>
        <v>0</v>
      </c>
      <c r="E79" s="116">
        <f>SUM(E80:E81)</f>
        <v>0</v>
      </c>
      <c r="F79" s="116">
        <f>SUM(F80:F81)</f>
        <v>2246442</v>
      </c>
    </row>
    <row r="80" spans="1:6" s="191" customFormat="1" ht="12" customHeight="1" x14ac:dyDescent="0.2">
      <c r="A80" s="12" t="s">
        <v>286</v>
      </c>
      <c r="B80" s="192" t="s">
        <v>264</v>
      </c>
      <c r="C80" s="187">
        <f t="shared" si="1"/>
        <v>2246442</v>
      </c>
      <c r="D80" s="265"/>
      <c r="E80" s="120"/>
      <c r="F80" s="1029">
        <v>2246442</v>
      </c>
    </row>
    <row r="81" spans="1:6" s="191" customFormat="1" ht="12" customHeight="1" thickBot="1" x14ac:dyDescent="0.25">
      <c r="A81" s="13" t="s">
        <v>287</v>
      </c>
      <c r="B81" s="113" t="s">
        <v>265</v>
      </c>
      <c r="C81" s="303">
        <f t="shared" si="1"/>
        <v>0</v>
      </c>
      <c r="D81" s="265"/>
      <c r="E81" s="120"/>
      <c r="F81" s="1029"/>
    </row>
    <row r="82" spans="1:6" s="191" customFormat="1" ht="12" customHeight="1" thickBot="1" x14ac:dyDescent="0.25">
      <c r="A82" s="252" t="s">
        <v>266</v>
      </c>
      <c r="B82" s="111" t="s">
        <v>267</v>
      </c>
      <c r="C82" s="116">
        <f t="shared" si="1"/>
        <v>0</v>
      </c>
      <c r="D82" s="276">
        <f>SUM(D83:D85)</f>
        <v>0</v>
      </c>
      <c r="E82" s="116">
        <f>SUM(E83:E85)</f>
        <v>0</v>
      </c>
      <c r="F82" s="116">
        <f>SUM(F83:F85)</f>
        <v>0</v>
      </c>
    </row>
    <row r="83" spans="1:6" s="191" customFormat="1" ht="12" customHeight="1" x14ac:dyDescent="0.2">
      <c r="A83" s="12" t="s">
        <v>288</v>
      </c>
      <c r="B83" s="192" t="s">
        <v>268</v>
      </c>
      <c r="C83" s="187">
        <f t="shared" si="1"/>
        <v>0</v>
      </c>
      <c r="D83" s="265"/>
      <c r="E83" s="120"/>
      <c r="F83" s="1029"/>
    </row>
    <row r="84" spans="1:6" s="191" customFormat="1" ht="12" customHeight="1" x14ac:dyDescent="0.2">
      <c r="A84" s="11" t="s">
        <v>289</v>
      </c>
      <c r="B84" s="193" t="s">
        <v>269</v>
      </c>
      <c r="C84" s="302">
        <f t="shared" si="1"/>
        <v>0</v>
      </c>
      <c r="D84" s="265"/>
      <c r="E84" s="120"/>
      <c r="F84" s="1029"/>
    </row>
    <row r="85" spans="1:6" s="191" customFormat="1" ht="12" customHeight="1" thickBot="1" x14ac:dyDescent="0.25">
      <c r="A85" s="13" t="s">
        <v>290</v>
      </c>
      <c r="B85" s="113" t="s">
        <v>865</v>
      </c>
      <c r="C85" s="303">
        <f t="shared" si="1"/>
        <v>0</v>
      </c>
      <c r="D85" s="265"/>
      <c r="E85" s="120"/>
      <c r="F85" s="1029"/>
    </row>
    <row r="86" spans="1:6" s="191" customFormat="1" ht="12" customHeight="1" thickBot="1" x14ac:dyDescent="0.25">
      <c r="A86" s="252" t="s">
        <v>271</v>
      </c>
      <c r="B86" s="111" t="s">
        <v>291</v>
      </c>
      <c r="C86" s="116">
        <f t="shared" si="1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</row>
    <row r="87" spans="1:6" s="191" customFormat="1" ht="12" customHeight="1" x14ac:dyDescent="0.2">
      <c r="A87" s="196" t="s">
        <v>272</v>
      </c>
      <c r="B87" s="192" t="s">
        <v>273</v>
      </c>
      <c r="C87" s="187">
        <f t="shared" si="1"/>
        <v>0</v>
      </c>
      <c r="D87" s="265"/>
      <c r="E87" s="120"/>
      <c r="F87" s="1029"/>
    </row>
    <row r="88" spans="1:6" s="191" customFormat="1" ht="12" customHeight="1" x14ac:dyDescent="0.2">
      <c r="A88" s="197" t="s">
        <v>274</v>
      </c>
      <c r="B88" s="193" t="s">
        <v>275</v>
      </c>
      <c r="C88" s="302">
        <f t="shared" si="1"/>
        <v>0</v>
      </c>
      <c r="D88" s="265"/>
      <c r="E88" s="120"/>
      <c r="F88" s="1029"/>
    </row>
    <row r="89" spans="1:6" s="191" customFormat="1" ht="12" customHeight="1" x14ac:dyDescent="0.2">
      <c r="A89" s="197" t="s">
        <v>276</v>
      </c>
      <c r="B89" s="193" t="s">
        <v>277</v>
      </c>
      <c r="C89" s="302">
        <f t="shared" si="1"/>
        <v>0</v>
      </c>
      <c r="D89" s="265"/>
      <c r="E89" s="120"/>
      <c r="F89" s="1029"/>
    </row>
    <row r="90" spans="1:6" s="191" customFormat="1" ht="12" customHeight="1" thickBot="1" x14ac:dyDescent="0.25">
      <c r="A90" s="198" t="s">
        <v>278</v>
      </c>
      <c r="B90" s="113" t="s">
        <v>279</v>
      </c>
      <c r="C90" s="303">
        <f t="shared" si="1"/>
        <v>0</v>
      </c>
      <c r="D90" s="265"/>
      <c r="E90" s="120"/>
      <c r="F90" s="1029"/>
    </row>
    <row r="91" spans="1:6" s="191" customFormat="1" ht="12" customHeight="1" thickBot="1" x14ac:dyDescent="0.25">
      <c r="A91" s="252" t="s">
        <v>280</v>
      </c>
      <c r="B91" s="111" t="s">
        <v>444</v>
      </c>
      <c r="C91" s="116">
        <f t="shared" si="1"/>
        <v>0</v>
      </c>
      <c r="D91" s="281"/>
      <c r="E91" s="231"/>
      <c r="F91" s="231"/>
    </row>
    <row r="92" spans="1:6" s="191" customFormat="1" ht="13.5" customHeight="1" thickBot="1" x14ac:dyDescent="0.25">
      <c r="A92" s="252" t="s">
        <v>282</v>
      </c>
      <c r="B92" s="111" t="s">
        <v>281</v>
      </c>
      <c r="C92" s="116">
        <f t="shared" si="1"/>
        <v>0</v>
      </c>
      <c r="D92" s="281"/>
      <c r="E92" s="231"/>
      <c r="F92" s="231"/>
    </row>
    <row r="93" spans="1:6" s="191" customFormat="1" ht="15.75" customHeight="1" thickBot="1" x14ac:dyDescent="0.25">
      <c r="A93" s="252" t="s">
        <v>294</v>
      </c>
      <c r="B93" s="199" t="s">
        <v>445</v>
      </c>
      <c r="C93" s="116">
        <f t="shared" si="1"/>
        <v>2246442</v>
      </c>
      <c r="D93" s="279">
        <f>+D70+D74+D79+D82+D86+D92+D91</f>
        <v>0</v>
      </c>
      <c r="E93" s="121">
        <f>+E70+E74+E79+E82+E86+E92+E91</f>
        <v>0</v>
      </c>
      <c r="F93" s="121">
        <f>+F70+F74+F79+F82+F86+F92+F91</f>
        <v>2246442</v>
      </c>
    </row>
    <row r="94" spans="1:6" s="191" customFormat="1" ht="16.5" customHeight="1" thickBot="1" x14ac:dyDescent="0.25">
      <c r="A94" s="254" t="s">
        <v>446</v>
      </c>
      <c r="B94" s="200" t="s">
        <v>447</v>
      </c>
      <c r="C94" s="116">
        <f t="shared" si="1"/>
        <v>922556271</v>
      </c>
      <c r="D94" s="279">
        <f>+D69+D93</f>
        <v>570376410</v>
      </c>
      <c r="E94" s="121">
        <f>+E69+E93</f>
        <v>0</v>
      </c>
      <c r="F94" s="121">
        <f>+F69+F93</f>
        <v>352179861</v>
      </c>
    </row>
    <row r="95" spans="1:6" s="191" customFormat="1" ht="83.25" customHeight="1" x14ac:dyDescent="0.2">
      <c r="A95" s="2"/>
      <c r="B95" s="3"/>
      <c r="C95" s="122"/>
    </row>
    <row r="96" spans="1:6" ht="16.5" customHeight="1" x14ac:dyDescent="0.25">
      <c r="A96" s="1423" t="s">
        <v>47</v>
      </c>
      <c r="B96" s="1423"/>
      <c r="C96" s="1423"/>
      <c r="D96" s="959"/>
      <c r="E96" s="959"/>
      <c r="F96" s="959"/>
    </row>
    <row r="97" spans="1:8" s="201" customFormat="1" ht="16.5" customHeight="1" thickBot="1" x14ac:dyDescent="0.3">
      <c r="A97" s="1424" t="s">
        <v>127</v>
      </c>
      <c r="B97" s="1424"/>
      <c r="C97" s="58" t="s">
        <v>539</v>
      </c>
      <c r="D97" s="579"/>
      <c r="E97" s="579"/>
      <c r="F97" s="579"/>
    </row>
    <row r="98" spans="1:8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  <c r="D98" s="959"/>
      <c r="E98" s="959"/>
      <c r="F98" s="959"/>
    </row>
    <row r="99" spans="1:8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8" ht="12" customHeight="1" thickBot="1" x14ac:dyDescent="0.3">
      <c r="A100" s="19" t="s">
        <v>19</v>
      </c>
      <c r="B100" s="23" t="s">
        <v>485</v>
      </c>
      <c r="C100" s="116">
        <f t="shared" ref="C100:C161" si="2">SUM(D100:F100)</f>
        <v>865890697</v>
      </c>
      <c r="D100" s="284">
        <f>+D101+D102+D103+D104+D105+D118</f>
        <v>104611292</v>
      </c>
      <c r="E100" s="115">
        <f>+E101+E102+E103+E104+E105+E118</f>
        <v>108914</v>
      </c>
      <c r="F100" s="116">
        <f>F101+F102+F103+F104+F105+F118</f>
        <v>761170491</v>
      </c>
    </row>
    <row r="101" spans="1:8" ht="12" customHeight="1" x14ac:dyDescent="0.25">
      <c r="A101" s="14" t="s">
        <v>97</v>
      </c>
      <c r="B101" s="7" t="s">
        <v>49</v>
      </c>
      <c r="C101" s="298">
        <f t="shared" si="2"/>
        <v>474552123</v>
      </c>
      <c r="D101" s="1033">
        <v>3533503</v>
      </c>
      <c r="E101" s="270"/>
      <c r="F101" s="270">
        <f>465000+470553620</f>
        <v>471018620</v>
      </c>
    </row>
    <row r="102" spans="1:8" ht="12" customHeight="1" x14ac:dyDescent="0.25">
      <c r="A102" s="11" t="s">
        <v>98</v>
      </c>
      <c r="B102" s="5" t="s">
        <v>146</v>
      </c>
      <c r="C102" s="299">
        <f t="shared" si="2"/>
        <v>83437567</v>
      </c>
      <c r="D102" s="1030">
        <v>1615069</v>
      </c>
      <c r="E102" s="1029">
        <v>7314</v>
      </c>
      <c r="F102" s="1029">
        <f>125550+81689634</f>
        <v>81815184</v>
      </c>
      <c r="H102" s="959"/>
    </row>
    <row r="103" spans="1:8" ht="12" customHeight="1" x14ac:dyDescent="0.25">
      <c r="A103" s="11" t="s">
        <v>99</v>
      </c>
      <c r="B103" s="5" t="s">
        <v>122</v>
      </c>
      <c r="C103" s="299">
        <f t="shared" si="2"/>
        <v>299901007</v>
      </c>
      <c r="D103" s="1031">
        <v>91462720</v>
      </c>
      <c r="E103" s="181">
        <v>101600</v>
      </c>
      <c r="F103" s="1029">
        <f>12096533+196240154</f>
        <v>208336687</v>
      </c>
    </row>
    <row r="104" spans="1:8" ht="12" customHeight="1" x14ac:dyDescent="0.25">
      <c r="A104" s="11" t="s">
        <v>100</v>
      </c>
      <c r="B104" s="5" t="s">
        <v>147</v>
      </c>
      <c r="C104" s="299">
        <f t="shared" si="2"/>
        <v>0</v>
      </c>
      <c r="D104" s="1031"/>
      <c r="E104" s="181"/>
      <c r="F104" s="1029"/>
    </row>
    <row r="105" spans="1:8" ht="12" customHeight="1" x14ac:dyDescent="0.25">
      <c r="A105" s="11" t="s">
        <v>111</v>
      </c>
      <c r="B105" s="4" t="s">
        <v>148</v>
      </c>
      <c r="C105" s="302">
        <f t="shared" si="2"/>
        <v>8000000</v>
      </c>
      <c r="D105" s="1031">
        <f>SUM(D106:D117)</f>
        <v>8000000</v>
      </c>
      <c r="E105" s="1031">
        <f>SUM(E106:E117)</f>
        <v>0</v>
      </c>
      <c r="F105" s="1031">
        <f>SUM(F106:F117)</f>
        <v>0</v>
      </c>
    </row>
    <row r="106" spans="1:8" ht="12" customHeight="1" x14ac:dyDescent="0.25">
      <c r="A106" s="11" t="s">
        <v>101</v>
      </c>
      <c r="B106" s="5" t="s">
        <v>448</v>
      </c>
      <c r="C106" s="302">
        <f t="shared" si="2"/>
        <v>0</v>
      </c>
      <c r="D106" s="1031"/>
      <c r="E106" s="181"/>
      <c r="F106" s="181"/>
    </row>
    <row r="107" spans="1:8" ht="12" customHeight="1" x14ac:dyDescent="0.25">
      <c r="A107" s="11" t="s">
        <v>102</v>
      </c>
      <c r="B107" s="62" t="s">
        <v>449</v>
      </c>
      <c r="C107" s="302">
        <f t="shared" si="2"/>
        <v>0</v>
      </c>
      <c r="D107" s="1031"/>
      <c r="E107" s="181"/>
      <c r="F107" s="181"/>
    </row>
    <row r="108" spans="1:8" ht="12" customHeight="1" x14ac:dyDescent="0.25">
      <c r="A108" s="11" t="s">
        <v>112</v>
      </c>
      <c r="B108" s="62" t="s">
        <v>450</v>
      </c>
      <c r="C108" s="302">
        <f t="shared" si="2"/>
        <v>0</v>
      </c>
      <c r="D108" s="1031"/>
      <c r="E108" s="181"/>
      <c r="F108" s="181"/>
    </row>
    <row r="109" spans="1:8" ht="12" customHeight="1" x14ac:dyDescent="0.25">
      <c r="A109" s="11" t="s">
        <v>113</v>
      </c>
      <c r="B109" s="60" t="s">
        <v>297</v>
      </c>
      <c r="C109" s="302">
        <f t="shared" si="2"/>
        <v>0</v>
      </c>
      <c r="D109" s="1031"/>
      <c r="E109" s="181"/>
      <c r="F109" s="181"/>
    </row>
    <row r="110" spans="1:8" ht="12" customHeight="1" x14ac:dyDescent="0.25">
      <c r="A110" s="11" t="s">
        <v>114</v>
      </c>
      <c r="B110" s="61" t="s">
        <v>298</v>
      </c>
      <c r="C110" s="302">
        <f t="shared" si="2"/>
        <v>0</v>
      </c>
      <c r="D110" s="1031"/>
      <c r="E110" s="181"/>
      <c r="F110" s="181"/>
    </row>
    <row r="111" spans="1:8" ht="12" customHeight="1" x14ac:dyDescent="0.25">
      <c r="A111" s="11" t="s">
        <v>115</v>
      </c>
      <c r="B111" s="61" t="s">
        <v>299</v>
      </c>
      <c r="C111" s="302">
        <f t="shared" si="2"/>
        <v>0</v>
      </c>
      <c r="D111" s="1031"/>
      <c r="E111" s="181"/>
      <c r="F111" s="181"/>
    </row>
    <row r="112" spans="1:8" ht="12" customHeight="1" x14ac:dyDescent="0.25">
      <c r="A112" s="11" t="s">
        <v>117</v>
      </c>
      <c r="B112" s="60" t="s">
        <v>300</v>
      </c>
      <c r="C112" s="302">
        <f t="shared" si="2"/>
        <v>0</v>
      </c>
      <c r="D112" s="1031"/>
      <c r="E112" s="181"/>
      <c r="F112" s="181"/>
    </row>
    <row r="113" spans="1:6" ht="12" customHeight="1" x14ac:dyDescent="0.25">
      <c r="A113" s="11" t="s">
        <v>149</v>
      </c>
      <c r="B113" s="60" t="s">
        <v>301</v>
      </c>
      <c r="C113" s="302">
        <f t="shared" si="2"/>
        <v>0</v>
      </c>
      <c r="D113" s="1031"/>
      <c r="E113" s="181"/>
      <c r="F113" s="181"/>
    </row>
    <row r="114" spans="1:6" ht="12" customHeight="1" x14ac:dyDescent="0.25">
      <c r="A114" s="11" t="s">
        <v>295</v>
      </c>
      <c r="B114" s="61" t="s">
        <v>302</v>
      </c>
      <c r="C114" s="302">
        <f t="shared" si="2"/>
        <v>0</v>
      </c>
      <c r="D114" s="1031"/>
      <c r="E114" s="181"/>
      <c r="F114" s="181"/>
    </row>
    <row r="115" spans="1:6" ht="12" customHeight="1" x14ac:dyDescent="0.25">
      <c r="A115" s="10" t="s">
        <v>296</v>
      </c>
      <c r="B115" s="62" t="s">
        <v>303</v>
      </c>
      <c r="C115" s="302">
        <f t="shared" si="2"/>
        <v>0</v>
      </c>
      <c r="D115" s="1031"/>
      <c r="E115" s="181"/>
      <c r="F115" s="181"/>
    </row>
    <row r="116" spans="1:6" ht="12" customHeight="1" x14ac:dyDescent="0.25">
      <c r="A116" s="11" t="s">
        <v>451</v>
      </c>
      <c r="B116" s="62" t="s">
        <v>304</v>
      </c>
      <c r="C116" s="302">
        <f t="shared" si="2"/>
        <v>0</v>
      </c>
      <c r="D116" s="1031"/>
      <c r="E116" s="181"/>
      <c r="F116" s="181"/>
    </row>
    <row r="117" spans="1:6" ht="12" customHeight="1" x14ac:dyDescent="0.25">
      <c r="A117" s="13" t="s">
        <v>452</v>
      </c>
      <c r="B117" s="62" t="s">
        <v>305</v>
      </c>
      <c r="C117" s="299">
        <f t="shared" si="2"/>
        <v>8000000</v>
      </c>
      <c r="D117" s="1030">
        <v>8000000</v>
      </c>
      <c r="E117" s="1029"/>
      <c r="F117" s="273"/>
    </row>
    <row r="118" spans="1:6" ht="12" customHeight="1" x14ac:dyDescent="0.25">
      <c r="A118" s="11" t="s">
        <v>453</v>
      </c>
      <c r="B118" s="5" t="s">
        <v>50</v>
      </c>
      <c r="C118" s="302">
        <f t="shared" si="2"/>
        <v>0</v>
      </c>
      <c r="D118" s="105"/>
      <c r="E118" s="1029"/>
      <c r="F118" s="117"/>
    </row>
    <row r="119" spans="1:6" ht="12" customHeight="1" x14ac:dyDescent="0.25">
      <c r="A119" s="11" t="s">
        <v>454</v>
      </c>
      <c r="B119" s="5" t="s">
        <v>455</v>
      </c>
      <c r="C119" s="302">
        <f t="shared" si="2"/>
        <v>0</v>
      </c>
      <c r="D119" s="106"/>
      <c r="E119" s="181"/>
      <c r="F119" s="117"/>
    </row>
    <row r="120" spans="1:6" ht="12" customHeight="1" thickBot="1" x14ac:dyDescent="0.3">
      <c r="A120" s="15" t="s">
        <v>456</v>
      </c>
      <c r="B120" s="255" t="s">
        <v>457</v>
      </c>
      <c r="C120" s="302">
        <f t="shared" si="2"/>
        <v>0</v>
      </c>
      <c r="D120" s="285"/>
      <c r="E120" s="274"/>
      <c r="F120" s="123"/>
    </row>
    <row r="121" spans="1:6" ht="12" customHeight="1" thickBot="1" x14ac:dyDescent="0.3">
      <c r="A121" s="256" t="s">
        <v>20</v>
      </c>
      <c r="B121" s="257" t="s">
        <v>306</v>
      </c>
      <c r="C121" s="116">
        <f t="shared" si="2"/>
        <v>168794763</v>
      </c>
      <c r="D121" s="276">
        <f>+D122+D124+D126</f>
        <v>97836015</v>
      </c>
      <c r="E121" s="116">
        <f>+E122+E124+E126</f>
        <v>0</v>
      </c>
      <c r="F121" s="258">
        <f>+F122+F124+F126</f>
        <v>70958748</v>
      </c>
    </row>
    <row r="122" spans="1:6" ht="12" customHeight="1" x14ac:dyDescent="0.25">
      <c r="A122" s="12" t="s">
        <v>103</v>
      </c>
      <c r="B122" s="5" t="s">
        <v>170</v>
      </c>
      <c r="C122" s="298">
        <f t="shared" si="2"/>
        <v>167294041</v>
      </c>
      <c r="D122" s="1032">
        <v>97836015</v>
      </c>
      <c r="E122" s="230"/>
      <c r="F122" s="230">
        <f>54931845+14526181</f>
        <v>69458026</v>
      </c>
    </row>
    <row r="123" spans="1:6" ht="12" customHeight="1" x14ac:dyDescent="0.25">
      <c r="A123" s="12" t="s">
        <v>104</v>
      </c>
      <c r="B123" s="9" t="s">
        <v>310</v>
      </c>
      <c r="C123" s="299">
        <f t="shared" si="2"/>
        <v>0</v>
      </c>
      <c r="D123" s="1032"/>
      <c r="E123" s="230"/>
      <c r="F123" s="230"/>
    </row>
    <row r="124" spans="1:6" ht="12" customHeight="1" x14ac:dyDescent="0.25">
      <c r="A124" s="12" t="s">
        <v>105</v>
      </c>
      <c r="B124" s="9" t="s">
        <v>150</v>
      </c>
      <c r="C124" s="302">
        <f t="shared" si="2"/>
        <v>1500722</v>
      </c>
      <c r="D124" s="105"/>
      <c r="E124" s="1029"/>
      <c r="F124" s="1029">
        <v>1500722</v>
      </c>
    </row>
    <row r="125" spans="1:6" ht="12" customHeight="1" x14ac:dyDescent="0.25">
      <c r="A125" s="12" t="s">
        <v>106</v>
      </c>
      <c r="B125" s="9" t="s">
        <v>311</v>
      </c>
      <c r="C125" s="302">
        <f t="shared" si="2"/>
        <v>0</v>
      </c>
      <c r="D125" s="105"/>
      <c r="E125" s="578"/>
      <c r="F125" s="1030"/>
    </row>
    <row r="126" spans="1:6" ht="12" customHeight="1" x14ac:dyDescent="0.25">
      <c r="A126" s="12" t="s">
        <v>107</v>
      </c>
      <c r="B126" s="113" t="s">
        <v>172</v>
      </c>
      <c r="C126" s="105">
        <f>SUM(C127:C134)</f>
        <v>0</v>
      </c>
      <c r="D126" s="1030"/>
      <c r="E126" s="1030"/>
      <c r="F126" s="1030"/>
    </row>
    <row r="127" spans="1:6" ht="12" customHeight="1" x14ac:dyDescent="0.25">
      <c r="A127" s="12" t="s">
        <v>116</v>
      </c>
      <c r="B127" s="112" t="s">
        <v>373</v>
      </c>
      <c r="C127" s="302">
        <f t="shared" si="2"/>
        <v>0</v>
      </c>
      <c r="D127" s="1030"/>
      <c r="E127" s="105"/>
      <c r="F127" s="105"/>
    </row>
    <row r="128" spans="1:6" ht="12" customHeight="1" x14ac:dyDescent="0.25">
      <c r="A128" s="12" t="s">
        <v>118</v>
      </c>
      <c r="B128" s="188" t="s">
        <v>316</v>
      </c>
      <c r="C128" s="302">
        <f t="shared" si="2"/>
        <v>0</v>
      </c>
      <c r="D128" s="1030"/>
      <c r="E128" s="105"/>
      <c r="F128" s="105"/>
    </row>
    <row r="129" spans="1:6" x14ac:dyDescent="0.25">
      <c r="A129" s="12" t="s">
        <v>151</v>
      </c>
      <c r="B129" s="61" t="s">
        <v>299</v>
      </c>
      <c r="C129" s="302">
        <f t="shared" si="2"/>
        <v>0</v>
      </c>
      <c r="D129" s="1030"/>
      <c r="E129" s="105"/>
      <c r="F129" s="105"/>
    </row>
    <row r="130" spans="1:6" ht="12" customHeight="1" x14ac:dyDescent="0.25">
      <c r="A130" s="12" t="s">
        <v>152</v>
      </c>
      <c r="B130" s="61" t="s">
        <v>315</v>
      </c>
      <c r="C130" s="302">
        <f t="shared" si="2"/>
        <v>0</v>
      </c>
      <c r="D130" s="1030"/>
      <c r="E130" s="105"/>
      <c r="F130" s="105"/>
    </row>
    <row r="131" spans="1:6" ht="12" customHeight="1" x14ac:dyDescent="0.25">
      <c r="A131" s="12" t="s">
        <v>153</v>
      </c>
      <c r="B131" s="61" t="s">
        <v>314</v>
      </c>
      <c r="C131" s="302">
        <f t="shared" si="2"/>
        <v>0</v>
      </c>
      <c r="D131" s="1030"/>
      <c r="E131" s="105"/>
      <c r="F131" s="105"/>
    </row>
    <row r="132" spans="1:6" ht="12" customHeight="1" x14ac:dyDescent="0.25">
      <c r="A132" s="12" t="s">
        <v>307</v>
      </c>
      <c r="B132" s="61" t="s">
        <v>302</v>
      </c>
      <c r="C132" s="302">
        <f t="shared" si="2"/>
        <v>0</v>
      </c>
      <c r="D132" s="1030"/>
      <c r="E132" s="105"/>
      <c r="F132" s="105"/>
    </row>
    <row r="133" spans="1:6" ht="12" customHeight="1" x14ac:dyDescent="0.25">
      <c r="A133" s="12" t="s">
        <v>308</v>
      </c>
      <c r="B133" s="61" t="s">
        <v>313</v>
      </c>
      <c r="C133" s="302">
        <f t="shared" si="2"/>
        <v>0</v>
      </c>
      <c r="D133" s="1030"/>
      <c r="E133" s="105"/>
      <c r="F133" s="105"/>
    </row>
    <row r="134" spans="1:6" ht="16.5" thickBot="1" x14ac:dyDescent="0.3">
      <c r="A134" s="10" t="s">
        <v>309</v>
      </c>
      <c r="B134" s="61" t="s">
        <v>312</v>
      </c>
      <c r="C134" s="303">
        <f t="shared" si="2"/>
        <v>0</v>
      </c>
      <c r="D134" s="1031"/>
      <c r="E134" s="1031"/>
      <c r="F134" s="1031"/>
    </row>
    <row r="135" spans="1:6" ht="12" customHeight="1" thickBot="1" x14ac:dyDescent="0.3">
      <c r="A135" s="17" t="s">
        <v>21</v>
      </c>
      <c r="B135" s="56" t="s">
        <v>458</v>
      </c>
      <c r="C135" s="116">
        <f t="shared" si="2"/>
        <v>1034685460</v>
      </c>
      <c r="D135" s="276">
        <f>+D100+D121</f>
        <v>202447307</v>
      </c>
      <c r="E135" s="116">
        <f>+E100+E121</f>
        <v>108914</v>
      </c>
      <c r="F135" s="116">
        <f>+F100+F121</f>
        <v>832129239</v>
      </c>
    </row>
    <row r="136" spans="1:6" ht="12" customHeight="1" thickBot="1" x14ac:dyDescent="0.3">
      <c r="A136" s="17" t="s">
        <v>22</v>
      </c>
      <c r="B136" s="56" t="s">
        <v>459</v>
      </c>
      <c r="C136" s="116">
        <f t="shared" si="2"/>
        <v>1668000</v>
      </c>
      <c r="D136" s="276">
        <f>+D137+D138+D139</f>
        <v>1668000</v>
      </c>
      <c r="E136" s="116">
        <f>+E137+E138+E139</f>
        <v>0</v>
      </c>
      <c r="F136" s="116">
        <f>+F137+F138+F139</f>
        <v>0</v>
      </c>
    </row>
    <row r="137" spans="1:6" ht="12" customHeight="1" x14ac:dyDescent="0.25">
      <c r="A137" s="12" t="s">
        <v>208</v>
      </c>
      <c r="B137" s="9" t="s">
        <v>460</v>
      </c>
      <c r="C137" s="187">
        <f t="shared" si="2"/>
        <v>1668000</v>
      </c>
      <c r="D137" s="1030">
        <v>1668000</v>
      </c>
      <c r="E137" s="1030"/>
      <c r="F137" s="1030"/>
    </row>
    <row r="138" spans="1:6" ht="12" customHeight="1" x14ac:dyDescent="0.25">
      <c r="A138" s="12" t="s">
        <v>211</v>
      </c>
      <c r="B138" s="9" t="s">
        <v>461</v>
      </c>
      <c r="C138" s="302">
        <f t="shared" si="2"/>
        <v>0</v>
      </c>
      <c r="D138" s="105"/>
      <c r="E138" s="105"/>
      <c r="F138" s="105"/>
    </row>
    <row r="139" spans="1:6" ht="12" customHeight="1" thickBot="1" x14ac:dyDescent="0.3">
      <c r="A139" s="10" t="s">
        <v>212</v>
      </c>
      <c r="B139" s="9" t="s">
        <v>462</v>
      </c>
      <c r="C139" s="303">
        <f t="shared" si="2"/>
        <v>0</v>
      </c>
      <c r="D139" s="105"/>
      <c r="E139" s="105"/>
      <c r="F139" s="105"/>
    </row>
    <row r="140" spans="1:6" ht="12" customHeight="1" thickBot="1" x14ac:dyDescent="0.3">
      <c r="A140" s="17" t="s">
        <v>23</v>
      </c>
      <c r="B140" s="56" t="s">
        <v>463</v>
      </c>
      <c r="C140" s="304">
        <f t="shared" si="2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</row>
    <row r="141" spans="1:6" ht="12" customHeight="1" x14ac:dyDescent="0.25">
      <c r="A141" s="12" t="s">
        <v>90</v>
      </c>
      <c r="B141" s="6" t="s">
        <v>464</v>
      </c>
      <c r="C141" s="187">
        <f t="shared" si="2"/>
        <v>0</v>
      </c>
      <c r="D141" s="105"/>
      <c r="E141" s="105"/>
      <c r="F141" s="105"/>
    </row>
    <row r="142" spans="1:6" ht="12" customHeight="1" x14ac:dyDescent="0.25">
      <c r="A142" s="12" t="s">
        <v>91</v>
      </c>
      <c r="B142" s="6" t="s">
        <v>465</v>
      </c>
      <c r="C142" s="302">
        <f t="shared" si="2"/>
        <v>0</v>
      </c>
      <c r="D142" s="105"/>
      <c r="E142" s="105"/>
      <c r="F142" s="105"/>
    </row>
    <row r="143" spans="1:6" ht="12" customHeight="1" x14ac:dyDescent="0.25">
      <c r="A143" s="12" t="s">
        <v>92</v>
      </c>
      <c r="B143" s="6" t="s">
        <v>466</v>
      </c>
      <c r="C143" s="302">
        <f t="shared" si="2"/>
        <v>0</v>
      </c>
      <c r="D143" s="105"/>
      <c r="E143" s="105"/>
      <c r="F143" s="105"/>
    </row>
    <row r="144" spans="1:6" ht="12" customHeight="1" x14ac:dyDescent="0.25">
      <c r="A144" s="12" t="s">
        <v>138</v>
      </c>
      <c r="B144" s="6" t="s">
        <v>467</v>
      </c>
      <c r="C144" s="302">
        <f t="shared" si="2"/>
        <v>0</v>
      </c>
      <c r="D144" s="105"/>
      <c r="E144" s="105"/>
      <c r="F144" s="105"/>
    </row>
    <row r="145" spans="1:9" ht="12" customHeight="1" x14ac:dyDescent="0.25">
      <c r="A145" s="12" t="s">
        <v>139</v>
      </c>
      <c r="B145" s="6" t="s">
        <v>468</v>
      </c>
      <c r="C145" s="302">
        <f t="shared" si="2"/>
        <v>0</v>
      </c>
      <c r="D145" s="105"/>
      <c r="E145" s="105"/>
      <c r="F145" s="105"/>
    </row>
    <row r="146" spans="1:9" ht="12" customHeight="1" thickBot="1" x14ac:dyDescent="0.3">
      <c r="A146" s="10" t="s">
        <v>140</v>
      </c>
      <c r="B146" s="6" t="s">
        <v>469</v>
      </c>
      <c r="C146" s="303">
        <f t="shared" si="2"/>
        <v>0</v>
      </c>
      <c r="D146" s="105"/>
      <c r="E146" s="105"/>
      <c r="F146" s="105"/>
    </row>
    <row r="147" spans="1:9" ht="12" customHeight="1" thickBot="1" x14ac:dyDescent="0.3">
      <c r="A147" s="17" t="s">
        <v>24</v>
      </c>
      <c r="B147" s="56" t="s">
        <v>470</v>
      </c>
      <c r="C147" s="116">
        <f t="shared" si="2"/>
        <v>0</v>
      </c>
      <c r="D147" s="279">
        <f>+D148+D149+D150+D151</f>
        <v>0</v>
      </c>
      <c r="E147" s="121">
        <f>+E148+E149+E150+E151</f>
        <v>0</v>
      </c>
      <c r="F147" s="121">
        <f>+F148+F149+F150+F151</f>
        <v>0</v>
      </c>
    </row>
    <row r="148" spans="1:9" ht="12" customHeight="1" x14ac:dyDescent="0.25">
      <c r="A148" s="12" t="s">
        <v>93</v>
      </c>
      <c r="B148" s="6" t="s">
        <v>317</v>
      </c>
      <c r="C148" s="187">
        <f t="shared" si="2"/>
        <v>0</v>
      </c>
      <c r="D148" s="105"/>
      <c r="E148" s="105"/>
      <c r="F148" s="105"/>
    </row>
    <row r="149" spans="1:9" ht="12" customHeight="1" x14ac:dyDescent="0.25">
      <c r="A149" s="12" t="s">
        <v>94</v>
      </c>
      <c r="B149" s="6" t="s">
        <v>318</v>
      </c>
      <c r="C149" s="302">
        <f t="shared" si="2"/>
        <v>0</v>
      </c>
      <c r="D149" s="105"/>
      <c r="E149" s="105"/>
      <c r="F149" s="105"/>
    </row>
    <row r="150" spans="1:9" ht="12" customHeight="1" x14ac:dyDescent="0.25">
      <c r="A150" s="12" t="s">
        <v>231</v>
      </c>
      <c r="B150" s="6" t="s">
        <v>471</v>
      </c>
      <c r="C150" s="302">
        <f t="shared" si="2"/>
        <v>0</v>
      </c>
      <c r="D150" s="105"/>
      <c r="E150" s="105"/>
      <c r="F150" s="105"/>
    </row>
    <row r="151" spans="1:9" ht="12" customHeight="1" thickBot="1" x14ac:dyDescent="0.3">
      <c r="A151" s="10" t="s">
        <v>232</v>
      </c>
      <c r="B151" s="4" t="s">
        <v>336</v>
      </c>
      <c r="C151" s="303">
        <f t="shared" si="2"/>
        <v>0</v>
      </c>
      <c r="D151" s="105"/>
      <c r="E151" s="105"/>
      <c r="F151" s="105"/>
    </row>
    <row r="152" spans="1:9" ht="12" customHeight="1" thickBot="1" x14ac:dyDescent="0.3">
      <c r="A152" s="17" t="s">
        <v>25</v>
      </c>
      <c r="B152" s="56" t="s">
        <v>472</v>
      </c>
      <c r="C152" s="116">
        <f t="shared" si="2"/>
        <v>0</v>
      </c>
      <c r="D152" s="286">
        <f>+D153+D154+D155+D156+D157</f>
        <v>0</v>
      </c>
      <c r="E152" s="124">
        <f>+E153+E154+E155+E156+E157</f>
        <v>0</v>
      </c>
      <c r="F152" s="1346">
        <f>SUM(F153:F157)</f>
        <v>0</v>
      </c>
    </row>
    <row r="153" spans="1:9" ht="12" customHeight="1" x14ac:dyDescent="0.25">
      <c r="A153" s="12" t="s">
        <v>95</v>
      </c>
      <c r="B153" s="6" t="s">
        <v>473</v>
      </c>
      <c r="C153" s="187">
        <f t="shared" si="2"/>
        <v>0</v>
      </c>
      <c r="D153" s="105"/>
      <c r="E153" s="105"/>
      <c r="F153" s="105"/>
    </row>
    <row r="154" spans="1:9" ht="12" customHeight="1" x14ac:dyDescent="0.25">
      <c r="A154" s="12" t="s">
        <v>96</v>
      </c>
      <c r="B154" s="6" t="s">
        <v>474</v>
      </c>
      <c r="C154" s="302">
        <f t="shared" si="2"/>
        <v>0</v>
      </c>
      <c r="D154" s="105"/>
      <c r="E154" s="105"/>
      <c r="F154" s="105"/>
    </row>
    <row r="155" spans="1:9" ht="12" customHeight="1" x14ac:dyDescent="0.25">
      <c r="A155" s="12" t="s">
        <v>243</v>
      </c>
      <c r="B155" s="6" t="s">
        <v>475</v>
      </c>
      <c r="C155" s="302">
        <f t="shared" si="2"/>
        <v>0</v>
      </c>
      <c r="D155" s="105"/>
      <c r="E155" s="105"/>
      <c r="F155" s="105"/>
    </row>
    <row r="156" spans="1:9" ht="12" customHeight="1" x14ac:dyDescent="0.25">
      <c r="A156" s="12" t="s">
        <v>244</v>
      </c>
      <c r="B156" s="6" t="s">
        <v>476</v>
      </c>
      <c r="C156" s="302">
        <f t="shared" si="2"/>
        <v>0</v>
      </c>
      <c r="D156" s="105"/>
      <c r="E156" s="105"/>
      <c r="F156" s="105"/>
    </row>
    <row r="157" spans="1:9" ht="12" customHeight="1" thickBot="1" x14ac:dyDescent="0.3">
      <c r="A157" s="12" t="s">
        <v>477</v>
      </c>
      <c r="B157" s="6" t="s">
        <v>478</v>
      </c>
      <c r="C157" s="303">
        <f t="shared" si="2"/>
        <v>0</v>
      </c>
      <c r="D157" s="106"/>
      <c r="E157" s="106"/>
      <c r="F157" s="105"/>
    </row>
    <row r="158" spans="1:9" ht="12" customHeight="1" thickBot="1" x14ac:dyDescent="0.3">
      <c r="A158" s="17" t="s">
        <v>26</v>
      </c>
      <c r="B158" s="56" t="s">
        <v>479</v>
      </c>
      <c r="C158" s="116">
        <f t="shared" si="2"/>
        <v>0</v>
      </c>
      <c r="D158" s="286"/>
      <c r="E158" s="124"/>
      <c r="F158" s="1347"/>
    </row>
    <row r="159" spans="1:9" ht="12" customHeight="1" thickBot="1" x14ac:dyDescent="0.3">
      <c r="A159" s="17" t="s">
        <v>27</v>
      </c>
      <c r="B159" s="56" t="s">
        <v>480</v>
      </c>
      <c r="C159" s="116">
        <f t="shared" si="2"/>
        <v>0</v>
      </c>
      <c r="D159" s="286"/>
      <c r="E159" s="124"/>
      <c r="F159" s="1347"/>
    </row>
    <row r="160" spans="1:9" ht="15" customHeight="1" thickBot="1" x14ac:dyDescent="0.3">
      <c r="A160" s="17" t="s">
        <v>28</v>
      </c>
      <c r="B160" s="56" t="s">
        <v>481</v>
      </c>
      <c r="C160" s="116">
        <f t="shared" si="2"/>
        <v>1668000</v>
      </c>
      <c r="D160" s="287">
        <f>+D136+D140+D147+D152+D158+D159</f>
        <v>1668000</v>
      </c>
      <c r="E160" s="202">
        <f>+E136+E140+E147+E152+E158+E159</f>
        <v>0</v>
      </c>
      <c r="F160" s="1348">
        <f>+F136+F140+F147+F152+F158+F159</f>
        <v>0</v>
      </c>
      <c r="G160" s="203"/>
      <c r="H160" s="203"/>
      <c r="I160" s="203"/>
    </row>
    <row r="161" spans="1:6" s="191" customFormat="1" ht="12.95" customHeight="1" thickBot="1" x14ac:dyDescent="0.25">
      <c r="A161" s="114" t="s">
        <v>29</v>
      </c>
      <c r="B161" s="177" t="s">
        <v>482</v>
      </c>
      <c r="C161" s="116">
        <f t="shared" si="2"/>
        <v>1036353460</v>
      </c>
      <c r="D161" s="287">
        <f>+D135+D160</f>
        <v>204115307</v>
      </c>
      <c r="E161" s="202">
        <f>+E135+E160</f>
        <v>108914</v>
      </c>
      <c r="F161" s="1348">
        <f>+F135+F160</f>
        <v>832129239</v>
      </c>
    </row>
    <row r="162" spans="1:6" ht="7.5" customHeight="1" x14ac:dyDescent="0.25"/>
    <row r="163" spans="1:6" x14ac:dyDescent="0.25">
      <c r="A163" s="1420" t="s">
        <v>319</v>
      </c>
      <c r="B163" s="1420"/>
      <c r="C163" s="1420"/>
    </row>
    <row r="164" spans="1:6" ht="15" customHeight="1" thickBot="1" x14ac:dyDescent="0.3">
      <c r="A164" s="1422" t="s">
        <v>128</v>
      </c>
      <c r="B164" s="1422"/>
      <c r="C164" s="125" t="s">
        <v>539</v>
      </c>
    </row>
    <row r="165" spans="1:6" ht="13.5" customHeight="1" thickBot="1" x14ac:dyDescent="0.3">
      <c r="A165" s="17">
        <v>1</v>
      </c>
      <c r="B165" s="22" t="s">
        <v>483</v>
      </c>
      <c r="C165" s="116">
        <f>+C69-C135</f>
        <v>-114375631</v>
      </c>
    </row>
    <row r="166" spans="1:6" ht="21.75" thickBot="1" x14ac:dyDescent="0.3">
      <c r="A166" s="17" t="s">
        <v>20</v>
      </c>
      <c r="B166" s="22" t="s">
        <v>817</v>
      </c>
      <c r="C166" s="116">
        <f>+C93-C160</f>
        <v>578442</v>
      </c>
    </row>
    <row r="169" spans="1:6" x14ac:dyDescent="0.25">
      <c r="D169" s="203"/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5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4" width="9.5" style="908" bestFit="1" customWidth="1"/>
    <col min="5" max="5" width="10.83203125" style="908" bestFit="1" customWidth="1"/>
    <col min="6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3" ht="12.75" customHeight="1" x14ac:dyDescent="0.2">
      <c r="A1" s="1468" t="str">
        <f>CONCATENATE("9.6.2. melléklet"," ",ALAPADATOK!A7," ",ALAPADATOK!B7," ",ALAPADATOK!C7," ",ALAPADATOK!D7," ",ALAPADATOK!E7," ",ALAPADATOK!F7," ",ALAPADATOK!G7," ",ALAPADATOK!H7)</f>
        <v>9.6.2.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1151"/>
    </row>
    <row r="3" spans="1:3" s="225" customFormat="1" ht="34.5" customHeight="1" x14ac:dyDescent="0.2">
      <c r="A3" s="182" t="s">
        <v>164</v>
      </c>
      <c r="B3" s="161" t="s">
        <v>530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368" t="s">
        <v>61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50">
        <f>SUM(C10:C20)</f>
        <v>187050135</v>
      </c>
    </row>
    <row r="10" spans="1:3" s="176" customFormat="1" ht="12" customHeight="1" x14ac:dyDescent="0.2">
      <c r="A10" s="219" t="s">
        <v>97</v>
      </c>
      <c r="B10" s="7" t="s">
        <v>220</v>
      </c>
      <c r="C10" s="651"/>
    </row>
    <row r="11" spans="1:3" s="176" customFormat="1" ht="12" customHeight="1" x14ac:dyDescent="0.2">
      <c r="A11" s="220" t="s">
        <v>98</v>
      </c>
      <c r="B11" s="5" t="s">
        <v>221</v>
      </c>
      <c r="C11" s="652">
        <v>2080000</v>
      </c>
    </row>
    <row r="12" spans="1:3" s="176" customFormat="1" ht="12" customHeight="1" x14ac:dyDescent="0.2">
      <c r="A12" s="220" t="s">
        <v>99</v>
      </c>
      <c r="B12" s="5" t="s">
        <v>222</v>
      </c>
      <c r="C12" s="652">
        <v>10000000</v>
      </c>
    </row>
    <row r="13" spans="1:3" s="176" customFormat="1" ht="12" customHeight="1" x14ac:dyDescent="0.2">
      <c r="A13" s="220" t="s">
        <v>100</v>
      </c>
      <c r="B13" s="5" t="s">
        <v>223</v>
      </c>
      <c r="C13" s="652"/>
    </row>
    <row r="14" spans="1:3" s="176" customFormat="1" ht="12" customHeight="1" x14ac:dyDescent="0.2">
      <c r="A14" s="220" t="s">
        <v>123</v>
      </c>
      <c r="B14" s="5" t="s">
        <v>224</v>
      </c>
      <c r="C14" s="652">
        <v>173575135</v>
      </c>
    </row>
    <row r="15" spans="1:3" s="176" customFormat="1" ht="12" customHeight="1" x14ac:dyDescent="0.2">
      <c r="A15" s="220" t="s">
        <v>101</v>
      </c>
      <c r="B15" s="5" t="s">
        <v>345</v>
      </c>
      <c r="C15" s="652">
        <v>1395000</v>
      </c>
    </row>
    <row r="16" spans="1:3" s="176" customFormat="1" ht="12" customHeight="1" x14ac:dyDescent="0.2">
      <c r="A16" s="220" t="s">
        <v>102</v>
      </c>
      <c r="B16" s="4" t="s">
        <v>346</v>
      </c>
      <c r="C16" s="652"/>
    </row>
    <row r="17" spans="1:3" s="176" customFormat="1" ht="12" customHeight="1" x14ac:dyDescent="0.2">
      <c r="A17" s="220" t="s">
        <v>112</v>
      </c>
      <c r="B17" s="5" t="s">
        <v>227</v>
      </c>
      <c r="C17" s="653"/>
    </row>
    <row r="18" spans="1:3" s="228" customFormat="1" ht="12" customHeight="1" x14ac:dyDescent="0.2">
      <c r="A18" s="220" t="s">
        <v>113</v>
      </c>
      <c r="B18" s="5" t="s">
        <v>228</v>
      </c>
      <c r="C18" s="652"/>
    </row>
    <row r="19" spans="1:3" s="228" customFormat="1" ht="12" customHeight="1" x14ac:dyDescent="0.2">
      <c r="A19" s="220" t="s">
        <v>114</v>
      </c>
      <c r="B19" s="5" t="s">
        <v>440</v>
      </c>
      <c r="C19" s="654"/>
    </row>
    <row r="20" spans="1:3" s="228" customFormat="1" ht="12" customHeight="1" thickBot="1" x14ac:dyDescent="0.25">
      <c r="A20" s="220" t="s">
        <v>115</v>
      </c>
      <c r="B20" s="4" t="s">
        <v>229</v>
      </c>
      <c r="C20" s="654"/>
    </row>
    <row r="21" spans="1:3" s="176" customFormat="1" ht="12" customHeight="1" thickBot="1" x14ac:dyDescent="0.25">
      <c r="A21" s="73" t="s">
        <v>20</v>
      </c>
      <c r="B21" s="90" t="s">
        <v>347</v>
      </c>
      <c r="C21" s="1022">
        <f>SUM(C22:C24)</f>
        <v>90180220</v>
      </c>
    </row>
    <row r="22" spans="1:3" s="228" customFormat="1" ht="12" customHeight="1" x14ac:dyDescent="0.2">
      <c r="A22" s="220" t="s">
        <v>103</v>
      </c>
      <c r="B22" s="6" t="s">
        <v>198</v>
      </c>
      <c r="C22" s="1020"/>
    </row>
    <row r="23" spans="1:3" s="228" customFormat="1" ht="12" customHeight="1" x14ac:dyDescent="0.2">
      <c r="A23" s="220" t="s">
        <v>104</v>
      </c>
      <c r="B23" s="5" t="s">
        <v>348</v>
      </c>
      <c r="C23" s="1020"/>
    </row>
    <row r="24" spans="1:3" s="228" customFormat="1" ht="12" customHeight="1" x14ac:dyDescent="0.2">
      <c r="A24" s="220" t="s">
        <v>105</v>
      </c>
      <c r="B24" s="5" t="s">
        <v>349</v>
      </c>
      <c r="C24" s="1020">
        <v>90180220</v>
      </c>
    </row>
    <row r="25" spans="1:3" s="228" customFormat="1" ht="12" customHeight="1" thickBot="1" x14ac:dyDescent="0.25">
      <c r="A25" s="220" t="s">
        <v>106</v>
      </c>
      <c r="B25" s="5" t="s">
        <v>511</v>
      </c>
      <c r="C25" s="652">
        <v>73588685</v>
      </c>
    </row>
    <row r="26" spans="1:3" s="228" customFormat="1" ht="12" customHeight="1" thickBot="1" x14ac:dyDescent="0.25">
      <c r="A26" s="76" t="s">
        <v>21</v>
      </c>
      <c r="B26" s="56" t="s">
        <v>137</v>
      </c>
      <c r="C26" s="657"/>
    </row>
    <row r="27" spans="1:3" s="228" customFormat="1" ht="12" customHeight="1" thickBot="1" x14ac:dyDescent="0.25">
      <c r="A27" s="76" t="s">
        <v>22</v>
      </c>
      <c r="B27" s="56" t="s">
        <v>512</v>
      </c>
      <c r="C27" s="650">
        <f>+C28+C29+C30</f>
        <v>10078381</v>
      </c>
    </row>
    <row r="28" spans="1:3" s="228" customFormat="1" ht="12" customHeight="1" x14ac:dyDescent="0.2">
      <c r="A28" s="221" t="s">
        <v>208</v>
      </c>
      <c r="B28" s="222" t="s">
        <v>203</v>
      </c>
      <c r="C28" s="658"/>
    </row>
    <row r="29" spans="1:3" s="228" customFormat="1" ht="12" customHeight="1" x14ac:dyDescent="0.2">
      <c r="A29" s="221" t="s">
        <v>211</v>
      </c>
      <c r="B29" s="222" t="s">
        <v>348</v>
      </c>
      <c r="C29" s="655"/>
    </row>
    <row r="30" spans="1:3" s="228" customFormat="1" ht="12" customHeight="1" x14ac:dyDescent="0.2">
      <c r="A30" s="221" t="s">
        <v>212</v>
      </c>
      <c r="B30" s="223" t="s">
        <v>350</v>
      </c>
      <c r="C30" s="652">
        <v>10078381</v>
      </c>
    </row>
    <row r="31" spans="1:3" s="228" customFormat="1" ht="12" customHeight="1" thickBot="1" x14ac:dyDescent="0.25">
      <c r="A31" s="220" t="s">
        <v>213</v>
      </c>
      <c r="B31" s="59" t="s">
        <v>513</v>
      </c>
      <c r="C31" s="659">
        <v>1193800</v>
      </c>
    </row>
    <row r="32" spans="1:3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8"/>
    </row>
    <row r="34" spans="1:3" s="228" customFormat="1" ht="12" customHeight="1" x14ac:dyDescent="0.2">
      <c r="A34" s="221" t="s">
        <v>91</v>
      </c>
      <c r="B34" s="223" t="s">
        <v>235</v>
      </c>
      <c r="C34" s="653"/>
    </row>
    <row r="35" spans="1:3" s="176" customFormat="1" ht="12" customHeight="1" thickBot="1" x14ac:dyDescent="0.25">
      <c r="A35" s="220" t="s">
        <v>92</v>
      </c>
      <c r="B35" s="59" t="s">
        <v>236</v>
      </c>
      <c r="C35" s="659"/>
    </row>
    <row r="36" spans="1:3" s="176" customFormat="1" ht="12" customHeight="1" thickBot="1" x14ac:dyDescent="0.25">
      <c r="A36" s="76" t="s">
        <v>24</v>
      </c>
      <c r="B36" s="56" t="s">
        <v>322</v>
      </c>
      <c r="C36" s="657"/>
    </row>
    <row r="37" spans="1:3" s="176" customFormat="1" ht="12" customHeight="1" thickBot="1" x14ac:dyDescent="0.25">
      <c r="A37" s="76" t="s">
        <v>25</v>
      </c>
      <c r="B37" s="56" t="s">
        <v>352</v>
      </c>
      <c r="C37" s="1134"/>
    </row>
    <row r="38" spans="1:3" s="176" customFormat="1" ht="12" customHeight="1" thickBot="1" x14ac:dyDescent="0.25">
      <c r="A38" s="73" t="s">
        <v>26</v>
      </c>
      <c r="B38" s="56" t="s">
        <v>353</v>
      </c>
      <c r="C38" s="1023">
        <f>+C9+C21+C26+C27+C32+C36+C37</f>
        <v>287308736</v>
      </c>
    </row>
    <row r="39" spans="1:3" s="176" customFormat="1" ht="12" customHeight="1" thickBot="1" x14ac:dyDescent="0.25">
      <c r="A39" s="1152" t="s">
        <v>27</v>
      </c>
      <c r="B39" s="56" t="s">
        <v>354</v>
      </c>
      <c r="C39" s="661">
        <f>+C40+C41+C42</f>
        <v>475700853</v>
      </c>
    </row>
    <row r="40" spans="1:3" s="176" customFormat="1" ht="12" customHeight="1" x14ac:dyDescent="0.2">
      <c r="A40" s="221" t="s">
        <v>355</v>
      </c>
      <c r="B40" s="222" t="s">
        <v>179</v>
      </c>
      <c r="C40" s="658">
        <v>2246442</v>
      </c>
    </row>
    <row r="41" spans="1:3" s="228" customFormat="1" ht="12" customHeight="1" x14ac:dyDescent="0.2">
      <c r="A41" s="221" t="s">
        <v>356</v>
      </c>
      <c r="B41" s="223" t="s">
        <v>7</v>
      </c>
      <c r="C41" s="653"/>
    </row>
    <row r="42" spans="1:3" s="228" customFormat="1" ht="15" customHeight="1" thickBot="1" x14ac:dyDescent="0.25">
      <c r="A42" s="220" t="s">
        <v>357</v>
      </c>
      <c r="B42" s="59" t="s">
        <v>358</v>
      </c>
      <c r="C42" s="659">
        <v>473454411</v>
      </c>
    </row>
    <row r="43" spans="1:3" s="228" customFormat="1" ht="15" customHeight="1" thickBot="1" x14ac:dyDescent="0.25">
      <c r="A43" s="1152" t="s">
        <v>28</v>
      </c>
      <c r="B43" s="1153" t="s">
        <v>359</v>
      </c>
      <c r="C43" s="1023">
        <f>+C38+C39</f>
        <v>763009589</v>
      </c>
    </row>
    <row r="44" spans="1:3" x14ac:dyDescent="0.2">
      <c r="A44" s="93"/>
      <c r="B44" s="94"/>
      <c r="C44" s="663"/>
    </row>
    <row r="45" spans="1:3" s="227" customFormat="1" ht="16.5" customHeight="1" thickBot="1" x14ac:dyDescent="0.25">
      <c r="A45" s="95"/>
      <c r="B45" s="96"/>
      <c r="C45" s="664"/>
    </row>
    <row r="46" spans="1:3" s="229" customFormat="1" ht="12" customHeight="1" thickBot="1" x14ac:dyDescent="0.25">
      <c r="A46" s="97"/>
      <c r="B46" s="98" t="s">
        <v>57</v>
      </c>
      <c r="C46" s="662"/>
    </row>
    <row r="47" spans="1:3" ht="12" customHeight="1" thickBot="1" x14ac:dyDescent="0.25">
      <c r="A47" s="76" t="s">
        <v>19</v>
      </c>
      <c r="B47" s="56" t="s">
        <v>360</v>
      </c>
      <c r="C47" s="1017">
        <f>SUM(C48:C52)</f>
        <v>748483408</v>
      </c>
    </row>
    <row r="48" spans="1:3" ht="12" customHeight="1" x14ac:dyDescent="0.2">
      <c r="A48" s="220" t="s">
        <v>97</v>
      </c>
      <c r="B48" s="6" t="s">
        <v>49</v>
      </c>
      <c r="C48" s="658">
        <f>470553620</f>
        <v>470553620</v>
      </c>
    </row>
    <row r="49" spans="1:5" ht="12" customHeight="1" x14ac:dyDescent="0.2">
      <c r="A49" s="220" t="s">
        <v>98</v>
      </c>
      <c r="B49" s="5" t="s">
        <v>146</v>
      </c>
      <c r="C49" s="652">
        <f>81689634</f>
        <v>81689634</v>
      </c>
    </row>
    <row r="50" spans="1:5" ht="12" customHeight="1" x14ac:dyDescent="0.2">
      <c r="A50" s="220" t="s">
        <v>99</v>
      </c>
      <c r="B50" s="5" t="s">
        <v>122</v>
      </c>
      <c r="C50" s="652">
        <f>196240154</f>
        <v>196240154</v>
      </c>
    </row>
    <row r="51" spans="1:5" ht="12" customHeight="1" x14ac:dyDescent="0.2">
      <c r="A51" s="220" t="s">
        <v>100</v>
      </c>
      <c r="B51" s="5" t="s">
        <v>147</v>
      </c>
      <c r="C51" s="652"/>
    </row>
    <row r="52" spans="1:5" ht="12" customHeight="1" thickBot="1" x14ac:dyDescent="0.25">
      <c r="A52" s="220" t="s">
        <v>123</v>
      </c>
      <c r="B52" s="5" t="s">
        <v>148</v>
      </c>
      <c r="C52" s="652"/>
    </row>
    <row r="53" spans="1:5" s="229" customFormat="1" ht="12" customHeight="1" thickBot="1" x14ac:dyDescent="0.25">
      <c r="A53" s="76" t="s">
        <v>20</v>
      </c>
      <c r="B53" s="56" t="s">
        <v>361</v>
      </c>
      <c r="C53" s="650">
        <f>SUM(C54:C56)</f>
        <v>14526181</v>
      </c>
    </row>
    <row r="54" spans="1:5" ht="12" customHeight="1" x14ac:dyDescent="0.2">
      <c r="A54" s="220" t="s">
        <v>103</v>
      </c>
      <c r="B54" s="6" t="s">
        <v>170</v>
      </c>
      <c r="C54" s="658">
        <v>14526181</v>
      </c>
    </row>
    <row r="55" spans="1:5" ht="12" customHeight="1" x14ac:dyDescent="0.2">
      <c r="A55" s="220" t="s">
        <v>104</v>
      </c>
      <c r="B55" s="5" t="s">
        <v>150</v>
      </c>
      <c r="C55" s="652"/>
    </row>
    <row r="56" spans="1:5" ht="12" customHeight="1" x14ac:dyDescent="0.2">
      <c r="A56" s="220" t="s">
        <v>105</v>
      </c>
      <c r="B56" s="5" t="s">
        <v>58</v>
      </c>
      <c r="C56" s="652"/>
    </row>
    <row r="57" spans="1:5" ht="15" customHeight="1" thickBot="1" x14ac:dyDescent="0.25">
      <c r="A57" s="220" t="s">
        <v>106</v>
      </c>
      <c r="B57" s="5" t="s">
        <v>514</v>
      </c>
      <c r="C57" s="652"/>
    </row>
    <row r="58" spans="1:5" ht="13.5" thickBot="1" x14ac:dyDescent="0.25">
      <c r="A58" s="76" t="s">
        <v>21</v>
      </c>
      <c r="B58" s="56" t="s">
        <v>13</v>
      </c>
      <c r="C58" s="657"/>
      <c r="D58" s="806"/>
      <c r="E58" s="806"/>
    </row>
    <row r="59" spans="1:5" ht="15" customHeight="1" thickBot="1" x14ac:dyDescent="0.25">
      <c r="A59" s="76" t="s">
        <v>22</v>
      </c>
      <c r="B59" s="99" t="s">
        <v>515</v>
      </c>
      <c r="C59" s="1017">
        <f>+C47+C53+C58</f>
        <v>763009589</v>
      </c>
    </row>
    <row r="60" spans="1:5" ht="14.25" customHeight="1" thickBot="1" x14ac:dyDescent="0.25">
      <c r="C60" s="666"/>
    </row>
    <row r="61" spans="1:5" ht="13.5" thickBot="1" x14ac:dyDescent="0.25">
      <c r="A61" s="101" t="s">
        <v>508</v>
      </c>
      <c r="B61" s="102"/>
      <c r="C61" s="667">
        <v>110</v>
      </c>
    </row>
    <row r="62" spans="1:5" ht="13.5" thickBot="1" x14ac:dyDescent="0.25">
      <c r="A62" s="679" t="s">
        <v>744</v>
      </c>
      <c r="B62" s="678"/>
      <c r="C62" s="680">
        <v>2</v>
      </c>
    </row>
    <row r="63" spans="1:5" s="373" customFormat="1" ht="13.9" customHeight="1" thickBot="1" x14ac:dyDescent="0.25">
      <c r="A63" s="1471"/>
      <c r="B63" s="1472"/>
      <c r="C63" s="681"/>
    </row>
    <row r="64" spans="1:5" s="373" customFormat="1" ht="13.5" thickBot="1" x14ac:dyDescent="0.25">
      <c r="A64" s="1473"/>
      <c r="B64" s="1474"/>
      <c r="C64" s="1155"/>
    </row>
    <row r="65" spans="1:3" ht="13.5" customHeight="1" thickBot="1" x14ac:dyDescent="0.25">
      <c r="A65" s="1475" t="s">
        <v>1022</v>
      </c>
      <c r="B65" s="1476"/>
      <c r="C65" s="1155">
        <v>50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="115" zoomScaleNormal="115"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4" width="9.5" style="908" bestFit="1" customWidth="1"/>
    <col min="5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3" ht="12.75" customHeight="1" x14ac:dyDescent="0.2">
      <c r="A1" s="1468" t="str">
        <f>CONCATENATE("9.6.3. melléklet"," ",ALAPADATOK!A7," ",ALAPADATOK!B7," ",ALAPADATOK!C7," ",ALAPADATOK!D7," ",ALAPADATOK!E7," ",ALAPADATOK!F7," ",ALAPADATOK!G7," ",ALAPADATOK!H7)</f>
        <v>9.6.3.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1151"/>
    </row>
    <row r="3" spans="1:3" s="225" customFormat="1" ht="34.5" customHeight="1" x14ac:dyDescent="0.2">
      <c r="A3" s="182" t="s">
        <v>164</v>
      </c>
      <c r="B3" s="161" t="s">
        <v>530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593</v>
      </c>
      <c r="C4" s="368" t="s">
        <v>61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50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651"/>
    </row>
    <row r="11" spans="1:3" s="176" customFormat="1" ht="12" customHeight="1" x14ac:dyDescent="0.2">
      <c r="A11" s="220" t="s">
        <v>98</v>
      </c>
      <c r="B11" s="5" t="s">
        <v>221</v>
      </c>
      <c r="C11" s="652"/>
    </row>
    <row r="12" spans="1:3" s="176" customFormat="1" ht="12" customHeight="1" x14ac:dyDescent="0.2">
      <c r="A12" s="220" t="s">
        <v>99</v>
      </c>
      <c r="B12" s="5" t="s">
        <v>222</v>
      </c>
      <c r="C12" s="652"/>
    </row>
    <row r="13" spans="1:3" s="176" customFormat="1" ht="12" customHeight="1" x14ac:dyDescent="0.2">
      <c r="A13" s="220" t="s">
        <v>100</v>
      </c>
      <c r="B13" s="5" t="s">
        <v>223</v>
      </c>
      <c r="C13" s="652"/>
    </row>
    <row r="14" spans="1:3" s="176" customFormat="1" ht="12" customHeight="1" x14ac:dyDescent="0.2">
      <c r="A14" s="220" t="s">
        <v>123</v>
      </c>
      <c r="B14" s="5" t="s">
        <v>224</v>
      </c>
      <c r="C14" s="652"/>
    </row>
    <row r="15" spans="1:3" s="176" customFormat="1" ht="12" customHeight="1" x14ac:dyDescent="0.2">
      <c r="A15" s="220" t="s">
        <v>101</v>
      </c>
      <c r="B15" s="5" t="s">
        <v>345</v>
      </c>
      <c r="C15" s="652"/>
    </row>
    <row r="16" spans="1:3" s="176" customFormat="1" ht="12" customHeight="1" x14ac:dyDescent="0.2">
      <c r="A16" s="220" t="s">
        <v>102</v>
      </c>
      <c r="B16" s="4" t="s">
        <v>346</v>
      </c>
      <c r="C16" s="652"/>
    </row>
    <row r="17" spans="1:3" s="176" customFormat="1" ht="12" customHeight="1" x14ac:dyDescent="0.2">
      <c r="A17" s="220" t="s">
        <v>112</v>
      </c>
      <c r="B17" s="5" t="s">
        <v>227</v>
      </c>
      <c r="C17" s="653"/>
    </row>
    <row r="18" spans="1:3" s="228" customFormat="1" ht="12" customHeight="1" x14ac:dyDescent="0.2">
      <c r="A18" s="220" t="s">
        <v>113</v>
      </c>
      <c r="B18" s="5" t="s">
        <v>228</v>
      </c>
      <c r="C18" s="652"/>
    </row>
    <row r="19" spans="1:3" s="228" customFormat="1" ht="12" customHeight="1" x14ac:dyDescent="0.2">
      <c r="A19" s="220" t="s">
        <v>114</v>
      </c>
      <c r="B19" s="5" t="s">
        <v>440</v>
      </c>
      <c r="C19" s="654"/>
    </row>
    <row r="20" spans="1:3" s="228" customFormat="1" ht="12" customHeight="1" thickBot="1" x14ac:dyDescent="0.25">
      <c r="A20" s="220" t="s">
        <v>115</v>
      </c>
      <c r="B20" s="4" t="s">
        <v>229</v>
      </c>
      <c r="C20" s="654"/>
    </row>
    <row r="21" spans="1:3" s="176" customFormat="1" ht="12" customHeight="1" thickBot="1" x14ac:dyDescent="0.25">
      <c r="A21" s="73" t="s">
        <v>20</v>
      </c>
      <c r="B21" s="90" t="s">
        <v>347</v>
      </c>
      <c r="C21" s="65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5"/>
    </row>
    <row r="23" spans="1:3" s="228" customFormat="1" ht="12" customHeight="1" x14ac:dyDescent="0.2">
      <c r="A23" s="220" t="s">
        <v>104</v>
      </c>
      <c r="B23" s="5" t="s">
        <v>348</v>
      </c>
      <c r="C23" s="652"/>
    </row>
    <row r="24" spans="1:3" s="228" customFormat="1" ht="12" customHeight="1" x14ac:dyDescent="0.2">
      <c r="A24" s="220" t="s">
        <v>105</v>
      </c>
      <c r="B24" s="5" t="s">
        <v>349</v>
      </c>
      <c r="C24" s="656"/>
    </row>
    <row r="25" spans="1:3" s="228" customFormat="1" ht="12" customHeight="1" thickBot="1" x14ac:dyDescent="0.25">
      <c r="A25" s="220" t="s">
        <v>106</v>
      </c>
      <c r="B25" s="5" t="s">
        <v>511</v>
      </c>
      <c r="C25" s="652"/>
    </row>
    <row r="26" spans="1:3" s="228" customFormat="1" ht="12" customHeight="1" thickBot="1" x14ac:dyDescent="0.25">
      <c r="A26" s="76" t="s">
        <v>21</v>
      </c>
      <c r="B26" s="56" t="s">
        <v>137</v>
      </c>
      <c r="C26" s="657"/>
    </row>
    <row r="27" spans="1:3" s="228" customFormat="1" ht="12" customHeight="1" thickBot="1" x14ac:dyDescent="0.25">
      <c r="A27" s="76" t="s">
        <v>22</v>
      </c>
      <c r="B27" s="56" t="s">
        <v>512</v>
      </c>
      <c r="C27" s="65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8"/>
    </row>
    <row r="29" spans="1:3" s="228" customFormat="1" ht="12" customHeight="1" x14ac:dyDescent="0.2">
      <c r="A29" s="221" t="s">
        <v>211</v>
      </c>
      <c r="B29" s="222" t="s">
        <v>348</v>
      </c>
      <c r="C29" s="655"/>
    </row>
    <row r="30" spans="1:3" s="228" customFormat="1" ht="12" customHeight="1" x14ac:dyDescent="0.2">
      <c r="A30" s="221" t="s">
        <v>212</v>
      </c>
      <c r="B30" s="223" t="s">
        <v>350</v>
      </c>
      <c r="C30" s="655"/>
    </row>
    <row r="31" spans="1:3" s="228" customFormat="1" ht="12" customHeight="1" thickBot="1" x14ac:dyDescent="0.25">
      <c r="A31" s="220" t="s">
        <v>213</v>
      </c>
      <c r="B31" s="59" t="s">
        <v>513</v>
      </c>
      <c r="C31" s="659"/>
    </row>
    <row r="32" spans="1:3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8"/>
    </row>
    <row r="34" spans="1:3" s="228" customFormat="1" ht="12" customHeight="1" x14ac:dyDescent="0.2">
      <c r="A34" s="221" t="s">
        <v>91</v>
      </c>
      <c r="B34" s="223" t="s">
        <v>235</v>
      </c>
      <c r="C34" s="653"/>
    </row>
    <row r="35" spans="1:3" s="176" customFormat="1" ht="12" customHeight="1" thickBot="1" x14ac:dyDescent="0.25">
      <c r="A35" s="220" t="s">
        <v>92</v>
      </c>
      <c r="B35" s="59" t="s">
        <v>236</v>
      </c>
      <c r="C35" s="659"/>
    </row>
    <row r="36" spans="1:3" s="176" customFormat="1" ht="12" customHeight="1" thickBot="1" x14ac:dyDescent="0.25">
      <c r="A36" s="76" t="s">
        <v>24</v>
      </c>
      <c r="B36" s="56" t="s">
        <v>322</v>
      </c>
      <c r="C36" s="657"/>
    </row>
    <row r="37" spans="1:3" s="176" customFormat="1" ht="12" customHeight="1" thickBot="1" x14ac:dyDescent="0.25">
      <c r="A37" s="76" t="s">
        <v>25</v>
      </c>
      <c r="B37" s="56" t="s">
        <v>352</v>
      </c>
      <c r="C37" s="660"/>
    </row>
    <row r="38" spans="1:3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0</v>
      </c>
    </row>
    <row r="39" spans="1:3" s="176" customFormat="1" ht="12" customHeight="1" thickBot="1" x14ac:dyDescent="0.25">
      <c r="A39" s="1152" t="s">
        <v>27</v>
      </c>
      <c r="B39" s="56" t="s">
        <v>354</v>
      </c>
      <c r="C39" s="661">
        <f>+C40+C41+C42</f>
        <v>0</v>
      </c>
    </row>
    <row r="40" spans="1:3" s="176" customFormat="1" ht="12" customHeight="1" x14ac:dyDescent="0.2">
      <c r="A40" s="221" t="s">
        <v>355</v>
      </c>
      <c r="B40" s="222" t="s">
        <v>179</v>
      </c>
      <c r="C40" s="658"/>
    </row>
    <row r="41" spans="1:3" s="228" customFormat="1" ht="12" customHeight="1" x14ac:dyDescent="0.2">
      <c r="A41" s="221" t="s">
        <v>356</v>
      </c>
      <c r="B41" s="223" t="s">
        <v>7</v>
      </c>
      <c r="C41" s="653"/>
    </row>
    <row r="42" spans="1:3" s="228" customFormat="1" ht="15" customHeight="1" thickBot="1" x14ac:dyDescent="0.25">
      <c r="A42" s="220" t="s">
        <v>357</v>
      </c>
      <c r="B42" s="59" t="s">
        <v>358</v>
      </c>
      <c r="C42" s="659"/>
    </row>
    <row r="43" spans="1:3" s="228" customFormat="1" ht="15" customHeight="1" thickBot="1" x14ac:dyDescent="0.25">
      <c r="A43" s="1152" t="s">
        <v>28</v>
      </c>
      <c r="B43" s="1153" t="s">
        <v>359</v>
      </c>
      <c r="C43" s="662">
        <f>+C38+C39</f>
        <v>0</v>
      </c>
    </row>
    <row r="44" spans="1:3" x14ac:dyDescent="0.2">
      <c r="A44" s="93"/>
      <c r="B44" s="94"/>
      <c r="C44" s="663"/>
    </row>
    <row r="45" spans="1:3" s="227" customFormat="1" ht="16.5" customHeight="1" thickBot="1" x14ac:dyDescent="0.25">
      <c r="A45" s="95"/>
      <c r="B45" s="96"/>
      <c r="C45" s="664"/>
    </row>
    <row r="46" spans="1:3" s="229" customFormat="1" ht="12" customHeight="1" thickBot="1" x14ac:dyDescent="0.25">
      <c r="A46" s="97"/>
      <c r="B46" s="98" t="s">
        <v>57</v>
      </c>
      <c r="C46" s="662"/>
    </row>
    <row r="47" spans="1:3" ht="12" customHeight="1" thickBot="1" x14ac:dyDescent="0.25">
      <c r="A47" s="76" t="s">
        <v>19</v>
      </c>
      <c r="B47" s="56" t="s">
        <v>360</v>
      </c>
      <c r="C47" s="1022">
        <f>SUM(C48:C52)</f>
        <v>0</v>
      </c>
    </row>
    <row r="48" spans="1:3" ht="12" customHeight="1" x14ac:dyDescent="0.2">
      <c r="A48" s="220" t="s">
        <v>97</v>
      </c>
      <c r="B48" s="6" t="s">
        <v>49</v>
      </c>
      <c r="C48" s="1019"/>
    </row>
    <row r="49" spans="1:4" ht="12" customHeight="1" x14ac:dyDescent="0.2">
      <c r="A49" s="220" t="s">
        <v>98</v>
      </c>
      <c r="B49" s="5" t="s">
        <v>146</v>
      </c>
      <c r="C49" s="1020"/>
    </row>
    <row r="50" spans="1:4" ht="12" customHeight="1" x14ac:dyDescent="0.2">
      <c r="A50" s="220" t="s">
        <v>99</v>
      </c>
      <c r="B50" s="5" t="s">
        <v>122</v>
      </c>
      <c r="C50" s="652"/>
    </row>
    <row r="51" spans="1:4" ht="12" customHeight="1" x14ac:dyDescent="0.2">
      <c r="A51" s="220" t="s">
        <v>100</v>
      </c>
      <c r="B51" s="5" t="s">
        <v>147</v>
      </c>
      <c r="C51" s="652"/>
    </row>
    <row r="52" spans="1:4" ht="12" customHeight="1" thickBot="1" x14ac:dyDescent="0.25">
      <c r="A52" s="220" t="s">
        <v>123</v>
      </c>
      <c r="B52" s="5" t="s">
        <v>148</v>
      </c>
      <c r="C52" s="652"/>
    </row>
    <row r="53" spans="1:4" s="229" customFormat="1" ht="12" customHeight="1" thickBot="1" x14ac:dyDescent="0.25">
      <c r="A53" s="76" t="s">
        <v>20</v>
      </c>
      <c r="B53" s="56" t="s">
        <v>361</v>
      </c>
      <c r="C53" s="650">
        <f>SUM(C54:C56)</f>
        <v>0</v>
      </c>
    </row>
    <row r="54" spans="1:4" ht="12" customHeight="1" x14ac:dyDescent="0.2">
      <c r="A54" s="220" t="s">
        <v>103</v>
      </c>
      <c r="B54" s="6" t="s">
        <v>170</v>
      </c>
      <c r="C54" s="658"/>
    </row>
    <row r="55" spans="1:4" ht="12" customHeight="1" x14ac:dyDescent="0.2">
      <c r="A55" s="220" t="s">
        <v>104</v>
      </c>
      <c r="B55" s="5" t="s">
        <v>150</v>
      </c>
      <c r="C55" s="652"/>
    </row>
    <row r="56" spans="1:4" ht="12" customHeight="1" x14ac:dyDescent="0.2">
      <c r="A56" s="220" t="s">
        <v>105</v>
      </c>
      <c r="B56" s="5" t="s">
        <v>58</v>
      </c>
      <c r="C56" s="652"/>
    </row>
    <row r="57" spans="1:4" ht="15" customHeight="1" thickBot="1" x14ac:dyDescent="0.25">
      <c r="A57" s="220" t="s">
        <v>106</v>
      </c>
      <c r="B57" s="5" t="s">
        <v>514</v>
      </c>
      <c r="C57" s="652"/>
    </row>
    <row r="58" spans="1:4" ht="13.5" thickBot="1" x14ac:dyDescent="0.25">
      <c r="A58" s="76" t="s">
        <v>21</v>
      </c>
      <c r="B58" s="56" t="s">
        <v>13</v>
      </c>
      <c r="C58" s="657"/>
      <c r="D58" s="806"/>
    </row>
    <row r="59" spans="1:4" ht="15" customHeight="1" thickBot="1" x14ac:dyDescent="0.25">
      <c r="A59" s="76" t="s">
        <v>22</v>
      </c>
      <c r="B59" s="99" t="s">
        <v>515</v>
      </c>
      <c r="C59" s="172">
        <f>+C47+C53+C58</f>
        <v>0</v>
      </c>
    </row>
    <row r="60" spans="1:4" ht="14.25" customHeight="1" thickBot="1" x14ac:dyDescent="0.25">
      <c r="C60" s="666"/>
    </row>
    <row r="61" spans="1:4" ht="13.5" thickBot="1" x14ac:dyDescent="0.25">
      <c r="A61" s="101" t="s">
        <v>508</v>
      </c>
      <c r="B61" s="102"/>
      <c r="C61" s="667">
        <v>0</v>
      </c>
    </row>
    <row r="62" spans="1:4" ht="13.5" thickBot="1" x14ac:dyDescent="0.25">
      <c r="A62" s="1477"/>
      <c r="B62" s="1478"/>
      <c r="C62" s="515"/>
      <c r="D62" s="358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130" zoomScaleNormal="130"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4" width="9.33203125" style="908" customWidth="1"/>
    <col min="5" max="5" width="11.83203125" style="931" hidden="1" customWidth="1"/>
    <col min="6" max="6" width="12.5" style="931" hidden="1" customWidth="1"/>
    <col min="7" max="8" width="9.33203125" style="908" customWidth="1"/>
    <col min="9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6" ht="12.75" customHeight="1" x14ac:dyDescent="0.2">
      <c r="A1" s="1468" t="str">
        <f>CONCATENATE("9.7. melléklet"," ",ALAPADATOK!A7," ",ALAPADATOK!B7," ",ALAPADATOK!C7," ",ALAPADATOK!D7," ",ALAPADATOK!E7," ",ALAPADATOK!F7," ",ALAPADATOK!G7," ",ALAPADATOK!H7)</f>
        <v>9.7. melléklet a 2 / 2021. ( II.15. ) önkormányzati rendelethez</v>
      </c>
      <c r="B1" s="1468"/>
      <c r="C1" s="1468"/>
    </row>
    <row r="2" spans="1:6" s="80" customFormat="1" ht="21" customHeight="1" thickBot="1" x14ac:dyDescent="0.25">
      <c r="A2" s="79"/>
      <c r="B2" s="81"/>
      <c r="C2" s="1151"/>
      <c r="E2" s="931"/>
      <c r="F2" s="931"/>
    </row>
    <row r="3" spans="1:6" s="225" customFormat="1" ht="36" customHeight="1" x14ac:dyDescent="0.2">
      <c r="A3" s="182" t="s">
        <v>164</v>
      </c>
      <c r="B3" s="161" t="s">
        <v>522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50">
        <f>SUM(C10:C20)</f>
        <v>1175672</v>
      </c>
      <c r="E9" s="564">
        <f>'9.7.1. sz. mell TIB  '!C9+'9.7.2. sz. mell TIB'!C9</f>
        <v>1175672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1"/>
      <c r="E10" s="564">
        <f>'9.7.1. sz. mell TIB  '!C10+'9.7.2. sz. mell TIB'!C10</f>
        <v>0</v>
      </c>
      <c r="F10" s="564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52"/>
      <c r="E11" s="564">
        <f>'9.7.1. sz. mell TIB  '!C11+'9.7.2. sz. mell TIB'!C11</f>
        <v>0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52"/>
      <c r="E12" s="564">
        <f>'9.7.1. sz. mell TIB  '!C12+'9.7.2. sz. mell TIB'!C12</f>
        <v>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52"/>
      <c r="E13" s="564">
        <f>'9.7.1. sz. mell TIB  '!C13+'9.7.2. sz. mell TIB'!C13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52">
        <v>1175672</v>
      </c>
      <c r="E14" s="564">
        <f>'9.7.1. sz. mell TIB  '!C14+'9.7.2. sz. mell TIB'!C14</f>
        <v>1175672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52"/>
      <c r="E15" s="564">
        <f>'9.7.1. sz. mell TIB  '!C15+'9.7.2. sz. mell TIB'!C15</f>
        <v>0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52"/>
      <c r="E16" s="564">
        <f>'9.7.1. sz. mell TIB  '!C16+'9.7.2. sz. mell TIB'!C16</f>
        <v>0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3"/>
      <c r="E17" s="564">
        <f>'9.7.1. sz. mell TIB  '!C17+'9.7.2. sz. mell TIB'!C17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2"/>
      <c r="E18" s="564">
        <f>'9.7.1. sz. mell TIB  '!C18+'9.7.2. sz. mell TIB'!C18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4"/>
      <c r="E19" s="564">
        <f>'9.7.1. sz. mell TIB  '!C19+'9.7.2. sz. mell TIB'!C19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4"/>
      <c r="E20" s="564">
        <f>'9.7.1. sz. mell TIB  '!C20+'9.7.2. sz. mell TIB'!C20</f>
        <v>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50">
        <f>SUM(C22:C24)</f>
        <v>0</v>
      </c>
      <c r="E21" s="564">
        <f>'9.7.1. sz. mell TIB  '!C21+'9.7.2. sz. mell TIB'!C21</f>
        <v>0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5"/>
      <c r="E22" s="564">
        <f>'9.7.1. sz. mell TIB  '!C22+'9.7.2. sz. mell TIB'!C22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2"/>
      <c r="E23" s="564">
        <f>'9.7.1. sz. mell TIB  '!C23+'9.7.2. sz. mell TIB'!C23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56"/>
      <c r="E24" s="564">
        <f>'9.7.1. sz. mell TIB  '!C24+'9.7.2. sz. mell TIB'!C24</f>
        <v>0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2"/>
      <c r="E25" s="564">
        <f>'9.7.1. sz. mell TIB  '!C25+'9.7.2. sz. mell TIB'!C25</f>
        <v>0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7"/>
      <c r="E26" s="564">
        <f>'9.7.1. sz. mell TIB  '!C26+'9.7.2. sz. mell TIB'!C26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50">
        <f>+C28+C29+C30</f>
        <v>0</v>
      </c>
      <c r="E27" s="564">
        <f>'9.7.1. sz. mell TIB  '!C27+'9.7.2. sz. mell TIB'!C27</f>
        <v>0</v>
      </c>
      <c r="F27" s="564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58"/>
      <c r="E28" s="564">
        <f>'9.7.1. sz. mell TIB  '!C28+'9.7.2. sz. mell TIB'!C28</f>
        <v>0</v>
      </c>
      <c r="F28" s="564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55"/>
      <c r="E29" s="564">
        <f>'9.7.1. sz. mell TIB  '!C29+'9.7.2. sz. mell TIB'!C30</f>
        <v>0</v>
      </c>
      <c r="F29" s="564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55"/>
      <c r="E30" s="564">
        <f>'9.7.1. sz. mell TIB  '!C30+'9.7.2. sz. mell TIB'!C31</f>
        <v>0</v>
      </c>
      <c r="F30" s="564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59"/>
      <c r="E31" s="564">
        <f>'9.7.1. sz. mell TIB  '!C31+'9.7.2. sz. mell TIB'!C32</f>
        <v>0</v>
      </c>
      <c r="F31" s="564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  <c r="E32" s="564">
        <f>'9.7.1. sz. mell TIB  '!C32+'9.7.2. sz. mell TIB'!C33</f>
        <v>0</v>
      </c>
      <c r="F32" s="564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58"/>
      <c r="E33" s="564">
        <f>'9.7.1. sz. mell TIB  '!C33+'9.7.2. sz. mell TIB'!C34</f>
        <v>0</v>
      </c>
      <c r="F33" s="564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53"/>
      <c r="E34" s="564">
        <f>'9.7.1. sz. mell TIB  '!C34+'9.7.2. sz. mell TIB'!C35</f>
        <v>0</v>
      </c>
      <c r="F34" s="564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59"/>
      <c r="E35" s="564">
        <f>'9.7.1. sz. mell TIB  '!C35+'9.7.2. sz. mell TIB'!C36</f>
        <v>0</v>
      </c>
      <c r="F35" s="564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57"/>
      <c r="E36" s="564">
        <f>'9.7.1. sz. mell TIB  '!C36+'9.7.2. sz. mell TIB'!C37</f>
        <v>0</v>
      </c>
      <c r="F36" s="564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660"/>
      <c r="E37" s="564">
        <f>'9.7.1. sz. mell TIB  '!C37+'9.7.2. sz. mell TIB'!C38</f>
        <v>0</v>
      </c>
      <c r="F37" s="564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1175672</v>
      </c>
      <c r="E38" s="564">
        <f>'9.7.1. sz. mell TIB  '!C38+'9.7.2. sz. mell TIB'!C39</f>
        <v>1175672</v>
      </c>
      <c r="F38" s="564">
        <f t="shared" si="0"/>
        <v>0</v>
      </c>
    </row>
    <row r="39" spans="1:6" s="176" customFormat="1" ht="12" customHeight="1" thickBot="1" x14ac:dyDescent="0.25">
      <c r="A39" s="1152" t="s">
        <v>27</v>
      </c>
      <c r="B39" s="56" t="s">
        <v>354</v>
      </c>
      <c r="C39" s="1023">
        <f>+C40+C41+C42</f>
        <v>110350626</v>
      </c>
      <c r="E39" s="564">
        <f>'9.7.1. sz. mell TIB  '!C39+'9.7.2. sz. mell TIB'!C40</f>
        <v>110350626</v>
      </c>
      <c r="F39" s="564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58">
        <v>284491</v>
      </c>
      <c r="E40" s="564">
        <f>'9.7.1. sz. mell TIB  '!C40+'9.7.2. sz. mell TIB'!C41</f>
        <v>284491</v>
      </c>
      <c r="F40" s="564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53"/>
      <c r="E41" s="564">
        <f>'9.7.1. sz. mell TIB  '!C41+'9.7.2. sz. mell TIB'!C42</f>
        <v>0</v>
      </c>
      <c r="F41" s="564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659">
        <v>110066135</v>
      </c>
      <c r="E42" s="564">
        <f>'9.7.1. sz. mell TIB  '!C42+'9.7.2. sz. mell TIB'!C43</f>
        <v>110066135</v>
      </c>
      <c r="F42" s="564">
        <f t="shared" si="0"/>
        <v>0</v>
      </c>
    </row>
    <row r="43" spans="1:6" s="228" customFormat="1" ht="15" customHeight="1" thickBot="1" x14ac:dyDescent="0.25">
      <c r="A43" s="1152" t="s">
        <v>28</v>
      </c>
      <c r="B43" s="1153" t="s">
        <v>359</v>
      </c>
      <c r="C43" s="1023">
        <f>+C38+C39</f>
        <v>111526298</v>
      </c>
      <c r="E43" s="564">
        <f>'9.7.1. sz. mell TIB  '!C43+'9.7.2. sz. mell TIB'!C44</f>
        <v>111526298</v>
      </c>
      <c r="F43" s="564">
        <f t="shared" si="0"/>
        <v>0</v>
      </c>
    </row>
    <row r="44" spans="1:6" x14ac:dyDescent="0.2">
      <c r="A44" s="93"/>
      <c r="B44" s="94"/>
      <c r="C44" s="663"/>
      <c r="E44" s="564">
        <f>'9.7.1. sz. mell TIB  '!C44+'9.7.2. sz. mell TIB'!C45</f>
        <v>0</v>
      </c>
      <c r="F44" s="564">
        <f t="shared" si="0"/>
        <v>0</v>
      </c>
    </row>
    <row r="45" spans="1:6" s="227" customFormat="1" ht="16.5" customHeight="1" thickBot="1" x14ac:dyDescent="0.25">
      <c r="A45" s="95"/>
      <c r="B45" s="96"/>
      <c r="C45" s="664"/>
      <c r="E45" s="564">
        <f>'9.7.1. sz. mell TIB  '!C45+'9.7.2. sz. mell TIB'!C46</f>
        <v>0</v>
      </c>
      <c r="F45" s="564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62"/>
      <c r="E46" s="564">
        <f>'9.7.1. sz. mell TIB  '!C46+'9.7.2. sz. mell TIB'!C47</f>
        <v>0</v>
      </c>
      <c r="F46" s="564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1022">
        <f>SUM(C48:C52)</f>
        <v>111501298</v>
      </c>
      <c r="E47" s="564">
        <f>'9.7.1. sz. mell TIB  '!C47+'9.7.2. sz. mell TIB'!C48</f>
        <v>111501298</v>
      </c>
      <c r="F47" s="564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658">
        <f>82248525</f>
        <v>82248525</v>
      </c>
      <c r="E48" s="564">
        <f>'9.7.1. sz. mell TIB  '!C48+'9.7.2. sz. mell TIB'!C49</f>
        <v>82248525</v>
      </c>
      <c r="F48" s="564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652">
        <f>13031917</f>
        <v>13031917</v>
      </c>
      <c r="E49" s="564">
        <f>'9.7.1. sz. mell TIB  '!C49+'9.7.2. sz. mell TIB'!C50</f>
        <v>13031917</v>
      </c>
      <c r="F49" s="564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652">
        <v>16220856</v>
      </c>
      <c r="E50" s="564">
        <f>'9.7.1. sz. mell TIB  '!C50+'9.7.2. sz. mell TIB'!C51</f>
        <v>16220856</v>
      </c>
      <c r="F50" s="564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52"/>
      <c r="E51" s="564">
        <f>'9.7.1. sz. mell TIB  '!C51+'9.7.2. sz. mell TIB'!C52</f>
        <v>0</v>
      </c>
      <c r="F51" s="564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52"/>
      <c r="E52" s="564">
        <f>'9.7.1. sz. mell TIB  '!C52+'9.7.2. sz. mell TIB'!C53</f>
        <v>0</v>
      </c>
      <c r="F52" s="564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50">
        <f>SUM(C54:C56)</f>
        <v>25000</v>
      </c>
      <c r="E53" s="564">
        <f>'9.7.1. sz. mell TIB  '!C53+'9.7.2. sz. mell TIB'!C54</f>
        <v>25000</v>
      </c>
      <c r="F53" s="564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658">
        <v>25000</v>
      </c>
      <c r="E54" s="564">
        <f>'9.7.1. sz. mell TIB  '!C54+'9.7.2. sz. mell TIB'!C55</f>
        <v>25000</v>
      </c>
      <c r="F54" s="564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52"/>
      <c r="E55" s="564">
        <f>'9.7.1. sz. mell TIB  '!C55+'9.7.2. sz. mell TIB'!C56</f>
        <v>0</v>
      </c>
      <c r="F55" s="564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52"/>
      <c r="E56" s="564">
        <f>'9.7.1. sz. mell TIB  '!C56+'9.7.2. sz. mell TIB'!C57</f>
        <v>0</v>
      </c>
      <c r="F56" s="564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52"/>
      <c r="E57" s="564">
        <f>'9.7.1. sz. mell TIB  '!C57+'9.7.2. sz. mell TIB'!C58</f>
        <v>0</v>
      </c>
      <c r="F57" s="564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57"/>
      <c r="E58" s="564">
        <f>'9.7.1. sz. mell TIB  '!C58+'9.7.2. sz. mell TIB'!C59</f>
        <v>0</v>
      </c>
      <c r="F58" s="564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1022">
        <f>+C47+C53+C58</f>
        <v>111526298</v>
      </c>
      <c r="E59" s="564">
        <f>'9.7.1. sz. mell TIB  '!C59+'9.7.2. sz. mell TIB'!C60</f>
        <v>111526298</v>
      </c>
      <c r="F59" s="564">
        <f t="shared" si="0"/>
        <v>0</v>
      </c>
    </row>
    <row r="60" spans="1:6" ht="14.25" customHeight="1" thickBot="1" x14ac:dyDescent="0.25">
      <c r="C60" s="666"/>
      <c r="E60" s="564">
        <f>'9.7.1. sz. mell TIB  '!C60+'9.7.2. sz. mell TIB'!C61</f>
        <v>0</v>
      </c>
      <c r="F60" s="564">
        <f t="shared" si="0"/>
        <v>0</v>
      </c>
    </row>
    <row r="61" spans="1:6" ht="13.5" thickBot="1" x14ac:dyDescent="0.25">
      <c r="A61" s="101" t="s">
        <v>508</v>
      </c>
      <c r="B61" s="102"/>
      <c r="C61" s="667">
        <v>21</v>
      </c>
      <c r="E61" s="564" t="e">
        <f>'9.7.1. sz. mell TIB  '!C61+'9.7.2. sz. mell TIB'!#REF!</f>
        <v>#REF!</v>
      </c>
      <c r="F61" s="564" t="e">
        <f t="shared" si="0"/>
        <v>#REF!</v>
      </c>
    </row>
    <row r="62" spans="1:6" x14ac:dyDescent="0.2">
      <c r="E62" s="564"/>
      <c r="F62" s="564"/>
    </row>
    <row r="63" spans="1:6" x14ac:dyDescent="0.2">
      <c r="E63" s="564"/>
      <c r="F63" s="56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00" customWidth="1"/>
    <col min="2" max="2" width="79.1640625" style="908" customWidth="1"/>
    <col min="3" max="3" width="25" style="373" customWidth="1"/>
    <col min="4" max="256" width="9.33203125" style="908"/>
    <col min="257" max="257" width="13.83203125" style="908" customWidth="1"/>
    <col min="258" max="258" width="79.1640625" style="908" customWidth="1"/>
    <col min="259" max="259" width="25" style="908" customWidth="1"/>
    <col min="260" max="512" width="9.33203125" style="908"/>
    <col min="513" max="513" width="13.83203125" style="908" customWidth="1"/>
    <col min="514" max="514" width="79.1640625" style="908" customWidth="1"/>
    <col min="515" max="515" width="25" style="908" customWidth="1"/>
    <col min="516" max="768" width="9.33203125" style="908"/>
    <col min="769" max="769" width="13.83203125" style="908" customWidth="1"/>
    <col min="770" max="770" width="79.1640625" style="908" customWidth="1"/>
    <col min="771" max="771" width="25" style="908" customWidth="1"/>
    <col min="772" max="1024" width="9.33203125" style="908"/>
    <col min="1025" max="1025" width="13.83203125" style="908" customWidth="1"/>
    <col min="1026" max="1026" width="79.1640625" style="908" customWidth="1"/>
    <col min="1027" max="1027" width="25" style="908" customWidth="1"/>
    <col min="1028" max="1280" width="9.33203125" style="908"/>
    <col min="1281" max="1281" width="13.83203125" style="908" customWidth="1"/>
    <col min="1282" max="1282" width="79.1640625" style="908" customWidth="1"/>
    <col min="1283" max="1283" width="25" style="908" customWidth="1"/>
    <col min="1284" max="1536" width="9.33203125" style="908"/>
    <col min="1537" max="1537" width="13.83203125" style="908" customWidth="1"/>
    <col min="1538" max="1538" width="79.1640625" style="908" customWidth="1"/>
    <col min="1539" max="1539" width="25" style="908" customWidth="1"/>
    <col min="1540" max="1792" width="9.33203125" style="908"/>
    <col min="1793" max="1793" width="13.83203125" style="908" customWidth="1"/>
    <col min="1794" max="1794" width="79.1640625" style="908" customWidth="1"/>
    <col min="1795" max="1795" width="25" style="908" customWidth="1"/>
    <col min="1796" max="2048" width="9.33203125" style="908"/>
    <col min="2049" max="2049" width="13.83203125" style="908" customWidth="1"/>
    <col min="2050" max="2050" width="79.1640625" style="908" customWidth="1"/>
    <col min="2051" max="2051" width="25" style="908" customWidth="1"/>
    <col min="2052" max="2304" width="9.33203125" style="908"/>
    <col min="2305" max="2305" width="13.83203125" style="908" customWidth="1"/>
    <col min="2306" max="2306" width="79.1640625" style="908" customWidth="1"/>
    <col min="2307" max="2307" width="25" style="908" customWidth="1"/>
    <col min="2308" max="2560" width="9.33203125" style="908"/>
    <col min="2561" max="2561" width="13.83203125" style="908" customWidth="1"/>
    <col min="2562" max="2562" width="79.1640625" style="908" customWidth="1"/>
    <col min="2563" max="2563" width="25" style="908" customWidth="1"/>
    <col min="2564" max="2816" width="9.33203125" style="908"/>
    <col min="2817" max="2817" width="13.83203125" style="908" customWidth="1"/>
    <col min="2818" max="2818" width="79.1640625" style="908" customWidth="1"/>
    <col min="2819" max="2819" width="25" style="908" customWidth="1"/>
    <col min="2820" max="3072" width="9.33203125" style="908"/>
    <col min="3073" max="3073" width="13.83203125" style="908" customWidth="1"/>
    <col min="3074" max="3074" width="79.1640625" style="908" customWidth="1"/>
    <col min="3075" max="3075" width="25" style="908" customWidth="1"/>
    <col min="3076" max="3328" width="9.33203125" style="908"/>
    <col min="3329" max="3329" width="13.83203125" style="908" customWidth="1"/>
    <col min="3330" max="3330" width="79.1640625" style="908" customWidth="1"/>
    <col min="3331" max="3331" width="25" style="908" customWidth="1"/>
    <col min="3332" max="3584" width="9.33203125" style="908"/>
    <col min="3585" max="3585" width="13.83203125" style="908" customWidth="1"/>
    <col min="3586" max="3586" width="79.1640625" style="908" customWidth="1"/>
    <col min="3587" max="3587" width="25" style="908" customWidth="1"/>
    <col min="3588" max="3840" width="9.33203125" style="908"/>
    <col min="3841" max="3841" width="13.83203125" style="908" customWidth="1"/>
    <col min="3842" max="3842" width="79.1640625" style="908" customWidth="1"/>
    <col min="3843" max="3843" width="25" style="908" customWidth="1"/>
    <col min="3844" max="4096" width="9.33203125" style="908"/>
    <col min="4097" max="4097" width="13.83203125" style="908" customWidth="1"/>
    <col min="4098" max="4098" width="79.1640625" style="908" customWidth="1"/>
    <col min="4099" max="4099" width="25" style="908" customWidth="1"/>
    <col min="4100" max="4352" width="9.33203125" style="908"/>
    <col min="4353" max="4353" width="13.83203125" style="908" customWidth="1"/>
    <col min="4354" max="4354" width="79.1640625" style="908" customWidth="1"/>
    <col min="4355" max="4355" width="25" style="908" customWidth="1"/>
    <col min="4356" max="4608" width="9.33203125" style="908"/>
    <col min="4609" max="4609" width="13.83203125" style="908" customWidth="1"/>
    <col min="4610" max="4610" width="79.1640625" style="908" customWidth="1"/>
    <col min="4611" max="4611" width="25" style="908" customWidth="1"/>
    <col min="4612" max="4864" width="9.33203125" style="908"/>
    <col min="4865" max="4865" width="13.83203125" style="908" customWidth="1"/>
    <col min="4866" max="4866" width="79.1640625" style="908" customWidth="1"/>
    <col min="4867" max="4867" width="25" style="908" customWidth="1"/>
    <col min="4868" max="5120" width="9.33203125" style="908"/>
    <col min="5121" max="5121" width="13.83203125" style="908" customWidth="1"/>
    <col min="5122" max="5122" width="79.1640625" style="908" customWidth="1"/>
    <col min="5123" max="5123" width="25" style="908" customWidth="1"/>
    <col min="5124" max="5376" width="9.33203125" style="908"/>
    <col min="5377" max="5377" width="13.83203125" style="908" customWidth="1"/>
    <col min="5378" max="5378" width="79.1640625" style="908" customWidth="1"/>
    <col min="5379" max="5379" width="25" style="908" customWidth="1"/>
    <col min="5380" max="5632" width="9.33203125" style="908"/>
    <col min="5633" max="5633" width="13.83203125" style="908" customWidth="1"/>
    <col min="5634" max="5634" width="79.1640625" style="908" customWidth="1"/>
    <col min="5635" max="5635" width="25" style="908" customWidth="1"/>
    <col min="5636" max="5888" width="9.33203125" style="908"/>
    <col min="5889" max="5889" width="13.83203125" style="908" customWidth="1"/>
    <col min="5890" max="5890" width="79.1640625" style="908" customWidth="1"/>
    <col min="5891" max="5891" width="25" style="908" customWidth="1"/>
    <col min="5892" max="6144" width="9.33203125" style="908"/>
    <col min="6145" max="6145" width="13.83203125" style="908" customWidth="1"/>
    <col min="6146" max="6146" width="79.1640625" style="908" customWidth="1"/>
    <col min="6147" max="6147" width="25" style="908" customWidth="1"/>
    <col min="6148" max="6400" width="9.33203125" style="908"/>
    <col min="6401" max="6401" width="13.83203125" style="908" customWidth="1"/>
    <col min="6402" max="6402" width="79.1640625" style="908" customWidth="1"/>
    <col min="6403" max="6403" width="25" style="908" customWidth="1"/>
    <col min="6404" max="6656" width="9.33203125" style="908"/>
    <col min="6657" max="6657" width="13.83203125" style="908" customWidth="1"/>
    <col min="6658" max="6658" width="79.1640625" style="908" customWidth="1"/>
    <col min="6659" max="6659" width="25" style="908" customWidth="1"/>
    <col min="6660" max="6912" width="9.33203125" style="908"/>
    <col min="6913" max="6913" width="13.83203125" style="908" customWidth="1"/>
    <col min="6914" max="6914" width="79.1640625" style="908" customWidth="1"/>
    <col min="6915" max="6915" width="25" style="908" customWidth="1"/>
    <col min="6916" max="7168" width="9.33203125" style="908"/>
    <col min="7169" max="7169" width="13.83203125" style="908" customWidth="1"/>
    <col min="7170" max="7170" width="79.1640625" style="908" customWidth="1"/>
    <col min="7171" max="7171" width="25" style="908" customWidth="1"/>
    <col min="7172" max="7424" width="9.33203125" style="908"/>
    <col min="7425" max="7425" width="13.83203125" style="908" customWidth="1"/>
    <col min="7426" max="7426" width="79.1640625" style="908" customWidth="1"/>
    <col min="7427" max="7427" width="25" style="908" customWidth="1"/>
    <col min="7428" max="7680" width="9.33203125" style="908"/>
    <col min="7681" max="7681" width="13.83203125" style="908" customWidth="1"/>
    <col min="7682" max="7682" width="79.1640625" style="908" customWidth="1"/>
    <col min="7683" max="7683" width="25" style="908" customWidth="1"/>
    <col min="7684" max="7936" width="9.33203125" style="908"/>
    <col min="7937" max="7937" width="13.83203125" style="908" customWidth="1"/>
    <col min="7938" max="7938" width="79.1640625" style="908" customWidth="1"/>
    <col min="7939" max="7939" width="25" style="908" customWidth="1"/>
    <col min="7940" max="8192" width="9.33203125" style="908"/>
    <col min="8193" max="8193" width="13.83203125" style="908" customWidth="1"/>
    <col min="8194" max="8194" width="79.1640625" style="908" customWidth="1"/>
    <col min="8195" max="8195" width="25" style="908" customWidth="1"/>
    <col min="8196" max="8448" width="9.33203125" style="908"/>
    <col min="8449" max="8449" width="13.83203125" style="908" customWidth="1"/>
    <col min="8450" max="8450" width="79.1640625" style="908" customWidth="1"/>
    <col min="8451" max="8451" width="25" style="908" customWidth="1"/>
    <col min="8452" max="8704" width="9.33203125" style="908"/>
    <col min="8705" max="8705" width="13.83203125" style="908" customWidth="1"/>
    <col min="8706" max="8706" width="79.1640625" style="908" customWidth="1"/>
    <col min="8707" max="8707" width="25" style="908" customWidth="1"/>
    <col min="8708" max="8960" width="9.33203125" style="908"/>
    <col min="8961" max="8961" width="13.83203125" style="908" customWidth="1"/>
    <col min="8962" max="8962" width="79.1640625" style="908" customWidth="1"/>
    <col min="8963" max="8963" width="25" style="908" customWidth="1"/>
    <col min="8964" max="9216" width="9.33203125" style="908"/>
    <col min="9217" max="9217" width="13.83203125" style="908" customWidth="1"/>
    <col min="9218" max="9218" width="79.1640625" style="908" customWidth="1"/>
    <col min="9219" max="9219" width="25" style="908" customWidth="1"/>
    <col min="9220" max="9472" width="9.33203125" style="908"/>
    <col min="9473" max="9473" width="13.83203125" style="908" customWidth="1"/>
    <col min="9474" max="9474" width="79.1640625" style="908" customWidth="1"/>
    <col min="9475" max="9475" width="25" style="908" customWidth="1"/>
    <col min="9476" max="9728" width="9.33203125" style="908"/>
    <col min="9729" max="9729" width="13.83203125" style="908" customWidth="1"/>
    <col min="9730" max="9730" width="79.1640625" style="908" customWidth="1"/>
    <col min="9731" max="9731" width="25" style="908" customWidth="1"/>
    <col min="9732" max="9984" width="9.33203125" style="908"/>
    <col min="9985" max="9985" width="13.83203125" style="908" customWidth="1"/>
    <col min="9986" max="9986" width="79.1640625" style="908" customWidth="1"/>
    <col min="9987" max="9987" width="25" style="908" customWidth="1"/>
    <col min="9988" max="10240" width="9.33203125" style="908"/>
    <col min="10241" max="10241" width="13.83203125" style="908" customWidth="1"/>
    <col min="10242" max="10242" width="79.1640625" style="908" customWidth="1"/>
    <col min="10243" max="10243" width="25" style="908" customWidth="1"/>
    <col min="10244" max="10496" width="9.33203125" style="908"/>
    <col min="10497" max="10497" width="13.83203125" style="908" customWidth="1"/>
    <col min="10498" max="10498" width="79.1640625" style="908" customWidth="1"/>
    <col min="10499" max="10499" width="25" style="908" customWidth="1"/>
    <col min="10500" max="10752" width="9.33203125" style="908"/>
    <col min="10753" max="10753" width="13.83203125" style="908" customWidth="1"/>
    <col min="10754" max="10754" width="79.1640625" style="908" customWidth="1"/>
    <col min="10755" max="10755" width="25" style="908" customWidth="1"/>
    <col min="10756" max="11008" width="9.33203125" style="908"/>
    <col min="11009" max="11009" width="13.83203125" style="908" customWidth="1"/>
    <col min="11010" max="11010" width="79.1640625" style="908" customWidth="1"/>
    <col min="11011" max="11011" width="25" style="908" customWidth="1"/>
    <col min="11012" max="11264" width="9.33203125" style="908"/>
    <col min="11265" max="11265" width="13.83203125" style="908" customWidth="1"/>
    <col min="11266" max="11266" width="79.1640625" style="908" customWidth="1"/>
    <col min="11267" max="11267" width="25" style="908" customWidth="1"/>
    <col min="11268" max="11520" width="9.33203125" style="908"/>
    <col min="11521" max="11521" width="13.83203125" style="908" customWidth="1"/>
    <col min="11522" max="11522" width="79.1640625" style="908" customWidth="1"/>
    <col min="11523" max="11523" width="25" style="908" customWidth="1"/>
    <col min="11524" max="11776" width="9.33203125" style="908"/>
    <col min="11777" max="11777" width="13.83203125" style="908" customWidth="1"/>
    <col min="11778" max="11778" width="79.1640625" style="908" customWidth="1"/>
    <col min="11779" max="11779" width="25" style="908" customWidth="1"/>
    <col min="11780" max="12032" width="9.33203125" style="908"/>
    <col min="12033" max="12033" width="13.83203125" style="908" customWidth="1"/>
    <col min="12034" max="12034" width="79.1640625" style="908" customWidth="1"/>
    <col min="12035" max="12035" width="25" style="908" customWidth="1"/>
    <col min="12036" max="12288" width="9.33203125" style="908"/>
    <col min="12289" max="12289" width="13.83203125" style="908" customWidth="1"/>
    <col min="12290" max="12290" width="79.1640625" style="908" customWidth="1"/>
    <col min="12291" max="12291" width="25" style="908" customWidth="1"/>
    <col min="12292" max="12544" width="9.33203125" style="908"/>
    <col min="12545" max="12545" width="13.83203125" style="908" customWidth="1"/>
    <col min="12546" max="12546" width="79.1640625" style="908" customWidth="1"/>
    <col min="12547" max="12547" width="25" style="908" customWidth="1"/>
    <col min="12548" max="12800" width="9.33203125" style="908"/>
    <col min="12801" max="12801" width="13.83203125" style="908" customWidth="1"/>
    <col min="12802" max="12802" width="79.1640625" style="908" customWidth="1"/>
    <col min="12803" max="12803" width="25" style="908" customWidth="1"/>
    <col min="12804" max="13056" width="9.33203125" style="908"/>
    <col min="13057" max="13057" width="13.83203125" style="908" customWidth="1"/>
    <col min="13058" max="13058" width="79.1640625" style="908" customWidth="1"/>
    <col min="13059" max="13059" width="25" style="908" customWidth="1"/>
    <col min="13060" max="13312" width="9.33203125" style="908"/>
    <col min="13313" max="13313" width="13.83203125" style="908" customWidth="1"/>
    <col min="13314" max="13314" width="79.1640625" style="908" customWidth="1"/>
    <col min="13315" max="13315" width="25" style="908" customWidth="1"/>
    <col min="13316" max="13568" width="9.33203125" style="908"/>
    <col min="13569" max="13569" width="13.83203125" style="908" customWidth="1"/>
    <col min="13570" max="13570" width="79.1640625" style="908" customWidth="1"/>
    <col min="13571" max="13571" width="25" style="908" customWidth="1"/>
    <col min="13572" max="13824" width="9.33203125" style="908"/>
    <col min="13825" max="13825" width="13.83203125" style="908" customWidth="1"/>
    <col min="13826" max="13826" width="79.1640625" style="908" customWidth="1"/>
    <col min="13827" max="13827" width="25" style="908" customWidth="1"/>
    <col min="13828" max="14080" width="9.33203125" style="908"/>
    <col min="14081" max="14081" width="13.83203125" style="908" customWidth="1"/>
    <col min="14082" max="14082" width="79.1640625" style="908" customWidth="1"/>
    <col min="14083" max="14083" width="25" style="908" customWidth="1"/>
    <col min="14084" max="14336" width="9.33203125" style="908"/>
    <col min="14337" max="14337" width="13.83203125" style="908" customWidth="1"/>
    <col min="14338" max="14338" width="79.1640625" style="908" customWidth="1"/>
    <col min="14339" max="14339" width="25" style="908" customWidth="1"/>
    <col min="14340" max="14592" width="9.33203125" style="908"/>
    <col min="14593" max="14593" width="13.83203125" style="908" customWidth="1"/>
    <col min="14594" max="14594" width="79.1640625" style="908" customWidth="1"/>
    <col min="14595" max="14595" width="25" style="908" customWidth="1"/>
    <col min="14596" max="14848" width="9.33203125" style="908"/>
    <col min="14849" max="14849" width="13.83203125" style="908" customWidth="1"/>
    <col min="14850" max="14850" width="79.1640625" style="908" customWidth="1"/>
    <col min="14851" max="14851" width="25" style="908" customWidth="1"/>
    <col min="14852" max="15104" width="9.33203125" style="908"/>
    <col min="15105" max="15105" width="13.83203125" style="908" customWidth="1"/>
    <col min="15106" max="15106" width="79.1640625" style="908" customWidth="1"/>
    <col min="15107" max="15107" width="25" style="908" customWidth="1"/>
    <col min="15108" max="15360" width="9.33203125" style="908"/>
    <col min="15361" max="15361" width="13.83203125" style="908" customWidth="1"/>
    <col min="15362" max="15362" width="79.1640625" style="908" customWidth="1"/>
    <col min="15363" max="15363" width="25" style="908" customWidth="1"/>
    <col min="15364" max="15616" width="9.33203125" style="908"/>
    <col min="15617" max="15617" width="13.83203125" style="908" customWidth="1"/>
    <col min="15618" max="15618" width="79.1640625" style="908" customWidth="1"/>
    <col min="15619" max="15619" width="25" style="908" customWidth="1"/>
    <col min="15620" max="15872" width="9.33203125" style="908"/>
    <col min="15873" max="15873" width="13.83203125" style="908" customWidth="1"/>
    <col min="15874" max="15874" width="79.1640625" style="908" customWidth="1"/>
    <col min="15875" max="15875" width="25" style="908" customWidth="1"/>
    <col min="15876" max="16128" width="9.33203125" style="908"/>
    <col min="16129" max="16129" width="13.83203125" style="908" customWidth="1"/>
    <col min="16130" max="16130" width="79.1640625" style="908" customWidth="1"/>
    <col min="16131" max="16131" width="25" style="908" customWidth="1"/>
    <col min="16132" max="16384" width="9.33203125" style="908"/>
  </cols>
  <sheetData>
    <row r="1" spans="1:3" ht="12.75" customHeight="1" x14ac:dyDescent="0.2">
      <c r="A1" s="1468" t="str">
        <f>CONCATENATE("9.7.1. melléklet"," ",ALAPADATOK!A7," ",ALAPADATOK!B7," ",ALAPADATOK!C7," ",ALAPADATOK!D7," ",ALAPADATOK!E7," ",ALAPADATOK!F7," ",ALAPADATOK!G7," ",ALAPADATOK!H7)</f>
        <v>9.7.1. melléklet a 2 / 2021. ( II.15. ) önkormányzati rendelethez</v>
      </c>
      <c r="B1" s="1468"/>
      <c r="C1" s="1468"/>
    </row>
    <row r="2" spans="1:3" s="80" customFormat="1" ht="21" customHeight="1" thickBot="1" x14ac:dyDescent="0.25">
      <c r="A2" s="79"/>
      <c r="B2" s="81"/>
      <c r="C2" s="1151"/>
    </row>
    <row r="3" spans="1:3" s="225" customFormat="1" ht="36" customHeight="1" x14ac:dyDescent="0.2">
      <c r="A3" s="182" t="s">
        <v>164</v>
      </c>
      <c r="B3" s="161" t="s">
        <v>522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53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50">
        <f>SUM(C10:C20)</f>
        <v>1175672</v>
      </c>
    </row>
    <row r="10" spans="1:3" s="176" customFormat="1" ht="12" customHeight="1" x14ac:dyDescent="0.2">
      <c r="A10" s="219" t="s">
        <v>97</v>
      </c>
      <c r="B10" s="7" t="s">
        <v>220</v>
      </c>
      <c r="C10" s="651"/>
    </row>
    <row r="11" spans="1:3" s="176" customFormat="1" ht="12" customHeight="1" x14ac:dyDescent="0.2">
      <c r="A11" s="220" t="s">
        <v>98</v>
      </c>
      <c r="B11" s="5" t="s">
        <v>221</v>
      </c>
      <c r="C11" s="652"/>
    </row>
    <row r="12" spans="1:3" s="176" customFormat="1" ht="12" customHeight="1" x14ac:dyDescent="0.2">
      <c r="A12" s="220" t="s">
        <v>99</v>
      </c>
      <c r="B12" s="5" t="s">
        <v>222</v>
      </c>
      <c r="C12" s="652"/>
    </row>
    <row r="13" spans="1:3" s="176" customFormat="1" ht="12" customHeight="1" x14ac:dyDescent="0.2">
      <c r="A13" s="220" t="s">
        <v>100</v>
      </c>
      <c r="B13" s="5" t="s">
        <v>223</v>
      </c>
      <c r="C13" s="652"/>
    </row>
    <row r="14" spans="1:3" s="176" customFormat="1" ht="12" customHeight="1" x14ac:dyDescent="0.2">
      <c r="A14" s="220" t="s">
        <v>123</v>
      </c>
      <c r="B14" s="5" t="s">
        <v>224</v>
      </c>
      <c r="C14" s="652">
        <v>1175672</v>
      </c>
    </row>
    <row r="15" spans="1:3" s="176" customFormat="1" ht="12" customHeight="1" x14ac:dyDescent="0.2">
      <c r="A15" s="220" t="s">
        <v>101</v>
      </c>
      <c r="B15" s="5" t="s">
        <v>345</v>
      </c>
      <c r="C15" s="652"/>
    </row>
    <row r="16" spans="1:3" s="176" customFormat="1" ht="12" customHeight="1" x14ac:dyDescent="0.2">
      <c r="A16" s="220" t="s">
        <v>102</v>
      </c>
      <c r="B16" s="4" t="s">
        <v>346</v>
      </c>
      <c r="C16" s="652"/>
    </row>
    <row r="17" spans="1:3" s="176" customFormat="1" ht="12" customHeight="1" x14ac:dyDescent="0.2">
      <c r="A17" s="220" t="s">
        <v>112</v>
      </c>
      <c r="B17" s="5" t="s">
        <v>227</v>
      </c>
      <c r="C17" s="653"/>
    </row>
    <row r="18" spans="1:3" s="228" customFormat="1" ht="12" customHeight="1" x14ac:dyDescent="0.2">
      <c r="A18" s="220" t="s">
        <v>113</v>
      </c>
      <c r="B18" s="5" t="s">
        <v>228</v>
      </c>
      <c r="C18" s="652"/>
    </row>
    <row r="19" spans="1:3" s="228" customFormat="1" ht="12" customHeight="1" x14ac:dyDescent="0.2">
      <c r="A19" s="220" t="s">
        <v>114</v>
      </c>
      <c r="B19" s="5" t="s">
        <v>440</v>
      </c>
      <c r="C19" s="654"/>
    </row>
    <row r="20" spans="1:3" s="228" customFormat="1" ht="12" customHeight="1" thickBot="1" x14ac:dyDescent="0.25">
      <c r="A20" s="220" t="s">
        <v>115</v>
      </c>
      <c r="B20" s="4" t="s">
        <v>229</v>
      </c>
      <c r="C20" s="654"/>
    </row>
    <row r="21" spans="1:3" s="176" customFormat="1" ht="12" customHeight="1" thickBot="1" x14ac:dyDescent="0.25">
      <c r="A21" s="73" t="s">
        <v>20</v>
      </c>
      <c r="B21" s="90" t="s">
        <v>347</v>
      </c>
      <c r="C21" s="65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5"/>
    </row>
    <row r="23" spans="1:3" s="228" customFormat="1" ht="12" customHeight="1" x14ac:dyDescent="0.2">
      <c r="A23" s="220" t="s">
        <v>104</v>
      </c>
      <c r="B23" s="5" t="s">
        <v>348</v>
      </c>
      <c r="C23" s="652"/>
    </row>
    <row r="24" spans="1:3" s="228" customFormat="1" ht="12" customHeight="1" x14ac:dyDescent="0.2">
      <c r="A24" s="220" t="s">
        <v>105</v>
      </c>
      <c r="B24" s="5" t="s">
        <v>349</v>
      </c>
      <c r="C24" s="656"/>
    </row>
    <row r="25" spans="1:3" s="228" customFormat="1" ht="12" customHeight="1" thickBot="1" x14ac:dyDescent="0.25">
      <c r="A25" s="220" t="s">
        <v>106</v>
      </c>
      <c r="B25" s="5" t="s">
        <v>511</v>
      </c>
      <c r="C25" s="652"/>
    </row>
    <row r="26" spans="1:3" s="228" customFormat="1" ht="12" customHeight="1" thickBot="1" x14ac:dyDescent="0.25">
      <c r="A26" s="76" t="s">
        <v>21</v>
      </c>
      <c r="B26" s="56" t="s">
        <v>137</v>
      </c>
      <c r="C26" s="657"/>
    </row>
    <row r="27" spans="1:3" s="228" customFormat="1" ht="12" customHeight="1" thickBot="1" x14ac:dyDescent="0.25">
      <c r="A27" s="76" t="s">
        <v>22</v>
      </c>
      <c r="B27" s="56" t="s">
        <v>512</v>
      </c>
      <c r="C27" s="65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8"/>
    </row>
    <row r="29" spans="1:3" s="228" customFormat="1" ht="12" customHeight="1" x14ac:dyDescent="0.2">
      <c r="A29" s="221" t="s">
        <v>211</v>
      </c>
      <c r="B29" s="222" t="s">
        <v>348</v>
      </c>
      <c r="C29" s="655"/>
    </row>
    <row r="30" spans="1:3" s="228" customFormat="1" ht="12" customHeight="1" x14ac:dyDescent="0.2">
      <c r="A30" s="221" t="s">
        <v>212</v>
      </c>
      <c r="B30" s="223" t="s">
        <v>350</v>
      </c>
      <c r="C30" s="655"/>
    </row>
    <row r="31" spans="1:3" s="228" customFormat="1" ht="12" customHeight="1" thickBot="1" x14ac:dyDescent="0.25">
      <c r="A31" s="220" t="s">
        <v>213</v>
      </c>
      <c r="B31" s="59" t="s">
        <v>513</v>
      </c>
      <c r="C31" s="659"/>
    </row>
    <row r="32" spans="1:3" s="228" customFormat="1" ht="12" customHeight="1" thickBot="1" x14ac:dyDescent="0.25">
      <c r="A32" s="76" t="s">
        <v>23</v>
      </c>
      <c r="B32" s="56" t="s">
        <v>351</v>
      </c>
      <c r="C32" s="65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8"/>
    </row>
    <row r="34" spans="1:3" s="228" customFormat="1" ht="12" customHeight="1" x14ac:dyDescent="0.2">
      <c r="A34" s="221" t="s">
        <v>91</v>
      </c>
      <c r="B34" s="223" t="s">
        <v>235</v>
      </c>
      <c r="C34" s="653"/>
    </row>
    <row r="35" spans="1:3" s="176" customFormat="1" ht="12" customHeight="1" thickBot="1" x14ac:dyDescent="0.25">
      <c r="A35" s="220" t="s">
        <v>92</v>
      </c>
      <c r="B35" s="59" t="s">
        <v>236</v>
      </c>
      <c r="C35" s="659"/>
    </row>
    <row r="36" spans="1:3" s="176" customFormat="1" ht="12" customHeight="1" thickBot="1" x14ac:dyDescent="0.25">
      <c r="A36" s="76" t="s">
        <v>24</v>
      </c>
      <c r="B36" s="56" t="s">
        <v>322</v>
      </c>
      <c r="C36" s="657"/>
    </row>
    <row r="37" spans="1:3" s="176" customFormat="1" ht="12" customHeight="1" thickBot="1" x14ac:dyDescent="0.25">
      <c r="A37" s="76" t="s">
        <v>25</v>
      </c>
      <c r="B37" s="56" t="s">
        <v>352</v>
      </c>
      <c r="C37" s="660"/>
    </row>
    <row r="38" spans="1:3" s="176" customFormat="1" ht="12" customHeight="1" thickBot="1" x14ac:dyDescent="0.25">
      <c r="A38" s="73" t="s">
        <v>26</v>
      </c>
      <c r="B38" s="56" t="s">
        <v>353</v>
      </c>
      <c r="C38" s="661">
        <f>+C9+C21+C26+C27+C32+C36+C37</f>
        <v>1175672</v>
      </c>
    </row>
    <row r="39" spans="1:3" s="176" customFormat="1" ht="12" customHeight="1" thickBot="1" x14ac:dyDescent="0.25">
      <c r="A39" s="1152" t="s">
        <v>27</v>
      </c>
      <c r="B39" s="56" t="s">
        <v>354</v>
      </c>
      <c r="C39" s="1023">
        <f>+C40+C41+C42</f>
        <v>110350626</v>
      </c>
    </row>
    <row r="40" spans="1:3" s="176" customFormat="1" ht="12" customHeight="1" x14ac:dyDescent="0.2">
      <c r="A40" s="221" t="s">
        <v>355</v>
      </c>
      <c r="B40" s="222" t="s">
        <v>179</v>
      </c>
      <c r="C40" s="658">
        <v>284491</v>
      </c>
    </row>
    <row r="41" spans="1:3" s="228" customFormat="1" ht="12" customHeight="1" x14ac:dyDescent="0.2">
      <c r="A41" s="221" t="s">
        <v>356</v>
      </c>
      <c r="B41" s="223" t="s">
        <v>7</v>
      </c>
      <c r="C41" s="653"/>
    </row>
    <row r="42" spans="1:3" s="228" customFormat="1" ht="15" customHeight="1" thickBot="1" x14ac:dyDescent="0.25">
      <c r="A42" s="220" t="s">
        <v>357</v>
      </c>
      <c r="B42" s="59" t="s">
        <v>358</v>
      </c>
      <c r="C42" s="659">
        <v>110066135</v>
      </c>
    </row>
    <row r="43" spans="1:3" s="228" customFormat="1" ht="15" customHeight="1" thickBot="1" x14ac:dyDescent="0.25">
      <c r="A43" s="1152" t="s">
        <v>28</v>
      </c>
      <c r="B43" s="1153" t="s">
        <v>359</v>
      </c>
      <c r="C43" s="1023">
        <f>+C38+C39</f>
        <v>111526298</v>
      </c>
    </row>
    <row r="44" spans="1:3" x14ac:dyDescent="0.2">
      <c r="A44" s="93"/>
      <c r="B44" s="94"/>
      <c r="C44" s="663"/>
    </row>
    <row r="45" spans="1:3" s="227" customFormat="1" ht="16.5" customHeight="1" thickBot="1" x14ac:dyDescent="0.25">
      <c r="A45" s="95"/>
      <c r="B45" s="96"/>
      <c r="C45" s="664"/>
    </row>
    <row r="46" spans="1:3" s="229" customFormat="1" ht="12" customHeight="1" thickBot="1" x14ac:dyDescent="0.25">
      <c r="A46" s="97"/>
      <c r="B46" s="98" t="s">
        <v>57</v>
      </c>
      <c r="C46" s="662"/>
    </row>
    <row r="47" spans="1:3" ht="12" customHeight="1" thickBot="1" x14ac:dyDescent="0.25">
      <c r="A47" s="76" t="s">
        <v>19</v>
      </c>
      <c r="B47" s="56" t="s">
        <v>360</v>
      </c>
      <c r="C47" s="1022">
        <f>SUM(C48:C52)</f>
        <v>111501298</v>
      </c>
    </row>
    <row r="48" spans="1:3" ht="12" customHeight="1" x14ac:dyDescent="0.2">
      <c r="A48" s="220" t="s">
        <v>97</v>
      </c>
      <c r="B48" s="6" t="s">
        <v>49</v>
      </c>
      <c r="C48" s="658">
        <f>82248525</f>
        <v>82248525</v>
      </c>
    </row>
    <row r="49" spans="1:3" ht="12" customHeight="1" x14ac:dyDescent="0.2">
      <c r="A49" s="220" t="s">
        <v>98</v>
      </c>
      <c r="B49" s="5" t="s">
        <v>146</v>
      </c>
      <c r="C49" s="652">
        <f>13031917</f>
        <v>13031917</v>
      </c>
    </row>
    <row r="50" spans="1:3" ht="12" customHeight="1" x14ac:dyDescent="0.2">
      <c r="A50" s="220" t="s">
        <v>99</v>
      </c>
      <c r="B50" s="5" t="s">
        <v>122</v>
      </c>
      <c r="C50" s="652">
        <v>16220856</v>
      </c>
    </row>
    <row r="51" spans="1:3" ht="12" customHeight="1" x14ac:dyDescent="0.2">
      <c r="A51" s="220" t="s">
        <v>100</v>
      </c>
      <c r="B51" s="5" t="s">
        <v>147</v>
      </c>
      <c r="C51" s="652"/>
    </row>
    <row r="52" spans="1:3" ht="12" customHeight="1" thickBot="1" x14ac:dyDescent="0.25">
      <c r="A52" s="220" t="s">
        <v>123</v>
      </c>
      <c r="B52" s="5" t="s">
        <v>148</v>
      </c>
      <c r="C52" s="652"/>
    </row>
    <row r="53" spans="1:3" s="229" customFormat="1" ht="12" customHeight="1" thickBot="1" x14ac:dyDescent="0.25">
      <c r="A53" s="76" t="s">
        <v>20</v>
      </c>
      <c r="B53" s="56" t="s">
        <v>361</v>
      </c>
      <c r="C53" s="650">
        <f>SUM(C54:C56)</f>
        <v>25000</v>
      </c>
    </row>
    <row r="54" spans="1:3" ht="12" customHeight="1" x14ac:dyDescent="0.2">
      <c r="A54" s="220" t="s">
        <v>103</v>
      </c>
      <c r="B54" s="6" t="s">
        <v>170</v>
      </c>
      <c r="C54" s="658">
        <v>25000</v>
      </c>
    </row>
    <row r="55" spans="1:3" ht="12" customHeight="1" x14ac:dyDescent="0.2">
      <c r="A55" s="220" t="s">
        <v>104</v>
      </c>
      <c r="B55" s="5" t="s">
        <v>150</v>
      </c>
      <c r="C55" s="652"/>
    </row>
    <row r="56" spans="1:3" ht="12" customHeight="1" x14ac:dyDescent="0.2">
      <c r="A56" s="220" t="s">
        <v>105</v>
      </c>
      <c r="B56" s="5" t="s">
        <v>58</v>
      </c>
      <c r="C56" s="652"/>
    </row>
    <row r="57" spans="1:3" ht="15" customHeight="1" thickBot="1" x14ac:dyDescent="0.25">
      <c r="A57" s="220" t="s">
        <v>106</v>
      </c>
      <c r="B57" s="5" t="s">
        <v>514</v>
      </c>
      <c r="C57" s="652"/>
    </row>
    <row r="58" spans="1:3" ht="13.5" thickBot="1" x14ac:dyDescent="0.25">
      <c r="A58" s="76" t="s">
        <v>21</v>
      </c>
      <c r="B58" s="56" t="s">
        <v>13</v>
      </c>
      <c r="C58" s="657"/>
    </row>
    <row r="59" spans="1:3" ht="15" customHeight="1" thickBot="1" x14ac:dyDescent="0.25">
      <c r="A59" s="76" t="s">
        <v>22</v>
      </c>
      <c r="B59" s="99" t="s">
        <v>515</v>
      </c>
      <c r="C59" s="1022">
        <f>+C47+C53+C58</f>
        <v>111526298</v>
      </c>
    </row>
    <row r="60" spans="1:3" ht="14.25" customHeight="1" thickBot="1" x14ac:dyDescent="0.25">
      <c r="C60" s="666"/>
    </row>
    <row r="61" spans="1:3" ht="13.5" thickBot="1" x14ac:dyDescent="0.25">
      <c r="A61" s="101" t="s">
        <v>508</v>
      </c>
      <c r="B61" s="102"/>
      <c r="C61" s="667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B14" sqref="B14"/>
    </sheetView>
  </sheetViews>
  <sheetFormatPr defaultRowHeight="12.75" x14ac:dyDescent="0.2"/>
  <cols>
    <col min="1" max="1" width="13.83203125" style="901" customWidth="1"/>
    <col min="2" max="2" width="79.1640625" style="901" customWidth="1"/>
    <col min="3" max="3" width="25" style="901" customWidth="1"/>
    <col min="4" max="16384" width="9.33203125" style="901"/>
  </cols>
  <sheetData>
    <row r="1" spans="1:3" x14ac:dyDescent="0.2">
      <c r="A1" s="1468" t="str">
        <f>CONCATENATE("9.7.2. melléklet"," ",ALAPADATOK!A7," ",ALAPADATOK!B7," ",ALAPADATOK!C7," ",ALAPADATOK!D7," ",ALAPADATOK!E7," ",ALAPADATOK!F7," ",ALAPADATOK!G7," ",ALAPADATOK!H7)</f>
        <v>9.7.2. melléklet a 2 / 2021. ( II.15. ) önkormányzati rendelethez</v>
      </c>
      <c r="B1" s="1468"/>
      <c r="C1" s="1468"/>
    </row>
    <row r="2" spans="1:3" ht="16.5" thickBot="1" x14ac:dyDescent="0.25">
      <c r="A2" s="79"/>
      <c r="B2" s="81"/>
      <c r="C2" s="224"/>
    </row>
    <row r="3" spans="1:3" ht="36" x14ac:dyDescent="0.2">
      <c r="A3" s="182" t="s">
        <v>164</v>
      </c>
      <c r="B3" s="161" t="s">
        <v>522</v>
      </c>
      <c r="C3" s="174" t="s">
        <v>61</v>
      </c>
    </row>
    <row r="4" spans="1:3" ht="24.75" thickBot="1" x14ac:dyDescent="0.25">
      <c r="A4" s="218" t="s">
        <v>163</v>
      </c>
      <c r="B4" s="162" t="s">
        <v>363</v>
      </c>
      <c r="C4" s="175" t="s">
        <v>60</v>
      </c>
    </row>
    <row r="5" spans="1:3" ht="14.25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ht="13.5" thickBot="1" x14ac:dyDescent="0.25">
      <c r="A7" s="73" t="s">
        <v>434</v>
      </c>
      <c r="B7" s="74" t="s">
        <v>435</v>
      </c>
      <c r="C7" s="75" t="s">
        <v>436</v>
      </c>
    </row>
    <row r="8" spans="1:3" ht="13.5" thickBot="1" x14ac:dyDescent="0.25">
      <c r="A8" s="87"/>
      <c r="B8" s="88" t="s">
        <v>56</v>
      </c>
      <c r="C8" s="89"/>
    </row>
    <row r="9" spans="1:3" ht="13.5" thickBot="1" x14ac:dyDescent="0.25">
      <c r="A9" s="73" t="s">
        <v>19</v>
      </c>
      <c r="B9" s="90" t="s">
        <v>510</v>
      </c>
      <c r="C9" s="1022">
        <f>SUM(C10:C20)</f>
        <v>0</v>
      </c>
    </row>
    <row r="10" spans="1:3" x14ac:dyDescent="0.2">
      <c r="A10" s="219" t="s">
        <v>97</v>
      </c>
      <c r="B10" s="7" t="s">
        <v>220</v>
      </c>
      <c r="C10" s="166"/>
    </row>
    <row r="11" spans="1:3" x14ac:dyDescent="0.2">
      <c r="A11" s="220" t="s">
        <v>98</v>
      </c>
      <c r="B11" s="5" t="s">
        <v>221</v>
      </c>
      <c r="C11" s="128"/>
    </row>
    <row r="12" spans="1:3" x14ac:dyDescent="0.2">
      <c r="A12" s="220" t="s">
        <v>99</v>
      </c>
      <c r="B12" s="5" t="s">
        <v>222</v>
      </c>
      <c r="C12" s="128"/>
    </row>
    <row r="13" spans="1:3" x14ac:dyDescent="0.2">
      <c r="A13" s="220" t="s">
        <v>100</v>
      </c>
      <c r="B13" s="5" t="s">
        <v>223</v>
      </c>
      <c r="C13" s="128"/>
    </row>
    <row r="14" spans="1:3" x14ac:dyDescent="0.2">
      <c r="A14" s="220" t="s">
        <v>123</v>
      </c>
      <c r="B14" s="5" t="s">
        <v>224</v>
      </c>
      <c r="C14" s="128"/>
    </row>
    <row r="15" spans="1:3" x14ac:dyDescent="0.2">
      <c r="A15" s="220" t="s">
        <v>101</v>
      </c>
      <c r="B15" s="5" t="s">
        <v>345</v>
      </c>
      <c r="C15" s="128"/>
    </row>
    <row r="16" spans="1:3" x14ac:dyDescent="0.2">
      <c r="A16" s="220" t="s">
        <v>102</v>
      </c>
      <c r="B16" s="4" t="s">
        <v>346</v>
      </c>
      <c r="C16" s="128"/>
    </row>
    <row r="17" spans="1:3" x14ac:dyDescent="0.2">
      <c r="A17" s="220" t="s">
        <v>112</v>
      </c>
      <c r="B17" s="5" t="s">
        <v>227</v>
      </c>
      <c r="C17" s="167"/>
    </row>
    <row r="18" spans="1:3" x14ac:dyDescent="0.2">
      <c r="A18" s="220" t="s">
        <v>113</v>
      </c>
      <c r="B18" s="5" t="s">
        <v>228</v>
      </c>
      <c r="C18" s="128"/>
    </row>
    <row r="19" spans="1:3" x14ac:dyDescent="0.2">
      <c r="A19" s="220" t="s">
        <v>114</v>
      </c>
      <c r="B19" s="5" t="s">
        <v>440</v>
      </c>
      <c r="C19" s="129"/>
    </row>
    <row r="20" spans="1:3" ht="13.5" thickBot="1" x14ac:dyDescent="0.25">
      <c r="A20" s="220" t="s">
        <v>115</v>
      </c>
      <c r="B20" s="4" t="s">
        <v>229</v>
      </c>
      <c r="C20" s="129"/>
    </row>
    <row r="21" spans="1:3" ht="13.5" thickBot="1" x14ac:dyDescent="0.25">
      <c r="A21" s="73" t="s">
        <v>20</v>
      </c>
      <c r="B21" s="90" t="s">
        <v>347</v>
      </c>
      <c r="C21" s="1022">
        <f>SUM(C22:C24)</f>
        <v>0</v>
      </c>
    </row>
    <row r="22" spans="1:3" x14ac:dyDescent="0.2">
      <c r="A22" s="220" t="s">
        <v>103</v>
      </c>
      <c r="B22" s="6" t="s">
        <v>198</v>
      </c>
      <c r="C22" s="128"/>
    </row>
    <row r="23" spans="1:3" x14ac:dyDescent="0.2">
      <c r="A23" s="220" t="s">
        <v>104</v>
      </c>
      <c r="B23" s="5" t="s">
        <v>348</v>
      </c>
      <c r="C23" s="128"/>
    </row>
    <row r="24" spans="1:3" x14ac:dyDescent="0.2">
      <c r="A24" s="220" t="s">
        <v>105</v>
      </c>
      <c r="B24" s="5" t="s">
        <v>349</v>
      </c>
      <c r="C24" s="128"/>
    </row>
    <row r="25" spans="1:3" ht="13.5" thickBot="1" x14ac:dyDescent="0.25">
      <c r="A25" s="220" t="s">
        <v>106</v>
      </c>
      <c r="B25" s="5" t="s">
        <v>517</v>
      </c>
      <c r="C25" s="128"/>
    </row>
    <row r="26" spans="1:3" ht="13.5" thickBot="1" x14ac:dyDescent="0.25">
      <c r="A26" s="76" t="s">
        <v>21</v>
      </c>
      <c r="B26" s="56" t="s">
        <v>137</v>
      </c>
      <c r="C26" s="151"/>
    </row>
    <row r="27" spans="1:3" ht="13.5" thickBot="1" x14ac:dyDescent="0.25">
      <c r="A27" s="76" t="s">
        <v>22</v>
      </c>
      <c r="B27" s="56" t="s">
        <v>518</v>
      </c>
      <c r="C27" s="1022">
        <f>+C28+C30</f>
        <v>0</v>
      </c>
    </row>
    <row r="28" spans="1:3" x14ac:dyDescent="0.2">
      <c r="A28" s="221" t="s">
        <v>208</v>
      </c>
      <c r="B28" s="222" t="s">
        <v>203</v>
      </c>
      <c r="C28" s="658"/>
    </row>
    <row r="29" spans="1:3" x14ac:dyDescent="0.2">
      <c r="A29" s="220" t="s">
        <v>211</v>
      </c>
      <c r="B29" s="223" t="s">
        <v>348</v>
      </c>
      <c r="C29" s="1020"/>
    </row>
    <row r="30" spans="1:3" x14ac:dyDescent="0.2">
      <c r="A30" s="221" t="s">
        <v>212</v>
      </c>
      <c r="B30" s="222" t="s">
        <v>350</v>
      </c>
      <c r="C30" s="131"/>
    </row>
    <row r="31" spans="1:3" ht="13.5" thickBot="1" x14ac:dyDescent="0.25">
      <c r="A31" s="220" t="s">
        <v>213</v>
      </c>
      <c r="B31" s="59" t="s">
        <v>519</v>
      </c>
      <c r="C31" s="1021"/>
    </row>
    <row r="32" spans="1:3" ht="13.5" thickBot="1" x14ac:dyDescent="0.25">
      <c r="A32" s="76" t="s">
        <v>23</v>
      </c>
      <c r="B32" s="56" t="s">
        <v>351</v>
      </c>
      <c r="C32" s="1022">
        <f>+C33+C34+C35</f>
        <v>0</v>
      </c>
    </row>
    <row r="33" spans="1:3" x14ac:dyDescent="0.2">
      <c r="A33" s="221" t="s">
        <v>90</v>
      </c>
      <c r="B33" s="222" t="s">
        <v>234</v>
      </c>
      <c r="C33" s="1019"/>
    </row>
    <row r="34" spans="1:3" x14ac:dyDescent="0.2">
      <c r="A34" s="221" t="s">
        <v>91</v>
      </c>
      <c r="B34" s="223" t="s">
        <v>235</v>
      </c>
      <c r="C34" s="131"/>
    </row>
    <row r="35" spans="1:3" ht="13.5" thickBot="1" x14ac:dyDescent="0.25">
      <c r="A35" s="220" t="s">
        <v>92</v>
      </c>
      <c r="B35" s="59" t="s">
        <v>236</v>
      </c>
      <c r="C35" s="1021"/>
    </row>
    <row r="36" spans="1:3" ht="13.5" thickBot="1" x14ac:dyDescent="0.25">
      <c r="A36" s="76" t="s">
        <v>24</v>
      </c>
      <c r="B36" s="56" t="s">
        <v>322</v>
      </c>
      <c r="C36" s="151"/>
    </row>
    <row r="37" spans="1:3" ht="13.5" thickBot="1" x14ac:dyDescent="0.25">
      <c r="A37" s="76" t="s">
        <v>25</v>
      </c>
      <c r="B37" s="56" t="s">
        <v>352</v>
      </c>
      <c r="C37" s="168"/>
    </row>
    <row r="38" spans="1:3" ht="13.5" thickBot="1" x14ac:dyDescent="0.25">
      <c r="A38" s="73" t="s">
        <v>26</v>
      </c>
      <c r="B38" s="56" t="s">
        <v>520</v>
      </c>
      <c r="C38" s="1023">
        <f>+C9+C21+C26+C27+C32+C36+C37</f>
        <v>0</v>
      </c>
    </row>
    <row r="39" spans="1:3" ht="13.5" thickBot="1" x14ac:dyDescent="0.25">
      <c r="A39" s="91" t="s">
        <v>27</v>
      </c>
      <c r="B39" s="56" t="s">
        <v>354</v>
      </c>
      <c r="C39" s="1023">
        <f>+C40+C41+C42</f>
        <v>0</v>
      </c>
    </row>
    <row r="40" spans="1:3" x14ac:dyDescent="0.2">
      <c r="A40" s="221" t="s">
        <v>355</v>
      </c>
      <c r="B40" s="222" t="s">
        <v>179</v>
      </c>
      <c r="C40" s="1019"/>
    </row>
    <row r="41" spans="1:3" x14ac:dyDescent="0.2">
      <c r="A41" s="221" t="s">
        <v>356</v>
      </c>
      <c r="B41" s="223" t="s">
        <v>7</v>
      </c>
      <c r="C41" s="131"/>
    </row>
    <row r="42" spans="1:3" ht="13.5" thickBot="1" x14ac:dyDescent="0.25">
      <c r="A42" s="220" t="s">
        <v>357</v>
      </c>
      <c r="B42" s="59" t="s">
        <v>358</v>
      </c>
      <c r="C42" s="1021"/>
    </row>
    <row r="43" spans="1:3" ht="13.5" thickBot="1" x14ac:dyDescent="0.25">
      <c r="A43" s="91" t="s">
        <v>28</v>
      </c>
      <c r="B43" s="92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ht="13.5" thickBot="1" x14ac:dyDescent="0.25">
      <c r="A46" s="97"/>
      <c r="B46" s="98" t="s">
        <v>57</v>
      </c>
      <c r="C46" s="171"/>
    </row>
    <row r="47" spans="1:3" ht="13.5" thickBot="1" x14ac:dyDescent="0.25">
      <c r="A47" s="76" t="s">
        <v>19</v>
      </c>
      <c r="B47" s="56" t="s">
        <v>360</v>
      </c>
      <c r="C47" s="1022">
        <f>SUM(C48:C52)</f>
        <v>0</v>
      </c>
    </row>
    <row r="48" spans="1:3" x14ac:dyDescent="0.2">
      <c r="A48" s="220" t="s">
        <v>97</v>
      </c>
      <c r="B48" s="6" t="s">
        <v>49</v>
      </c>
      <c r="C48" s="1019"/>
    </row>
    <row r="49" spans="1:3" x14ac:dyDescent="0.2">
      <c r="A49" s="220" t="s">
        <v>98</v>
      </c>
      <c r="B49" s="5" t="s">
        <v>146</v>
      </c>
      <c r="C49" s="1020"/>
    </row>
    <row r="50" spans="1:3" x14ac:dyDescent="0.2">
      <c r="A50" s="220" t="s">
        <v>99</v>
      </c>
      <c r="B50" s="5" t="s">
        <v>122</v>
      </c>
      <c r="C50" s="1020"/>
    </row>
    <row r="51" spans="1:3" x14ac:dyDescent="0.2">
      <c r="A51" s="220" t="s">
        <v>100</v>
      </c>
      <c r="B51" s="5" t="s">
        <v>147</v>
      </c>
      <c r="C51" s="1020"/>
    </row>
    <row r="52" spans="1:3" ht="13.5" thickBot="1" x14ac:dyDescent="0.25">
      <c r="A52" s="220" t="s">
        <v>123</v>
      </c>
      <c r="B52" s="5" t="s">
        <v>148</v>
      </c>
      <c r="C52" s="1020"/>
    </row>
    <row r="53" spans="1:3" ht="13.5" thickBot="1" x14ac:dyDescent="0.25">
      <c r="A53" s="76" t="s">
        <v>20</v>
      </c>
      <c r="B53" s="56" t="s">
        <v>361</v>
      </c>
      <c r="C53" s="1022">
        <f>SUM(C54:C56)</f>
        <v>0</v>
      </c>
    </row>
    <row r="54" spans="1:3" x14ac:dyDescent="0.2">
      <c r="A54" s="220" t="s">
        <v>103</v>
      </c>
      <c r="B54" s="6" t="s">
        <v>170</v>
      </c>
      <c r="C54" s="1019"/>
    </row>
    <row r="55" spans="1:3" x14ac:dyDescent="0.2">
      <c r="A55" s="220" t="s">
        <v>104</v>
      </c>
      <c r="B55" s="5" t="s">
        <v>150</v>
      </c>
      <c r="C55" s="1020"/>
    </row>
    <row r="56" spans="1:3" x14ac:dyDescent="0.2">
      <c r="A56" s="220" t="s">
        <v>105</v>
      </c>
      <c r="B56" s="5" t="s">
        <v>58</v>
      </c>
      <c r="C56" s="1020"/>
    </row>
    <row r="57" spans="1:3" ht="13.5" thickBot="1" x14ac:dyDescent="0.25">
      <c r="A57" s="220" t="s">
        <v>106</v>
      </c>
      <c r="B57" s="5" t="s">
        <v>514</v>
      </c>
      <c r="C57" s="1020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3.5" thickBot="1" x14ac:dyDescent="0.25">
      <c r="A60" s="100"/>
      <c r="B60" s="908"/>
      <c r="C60" s="173"/>
    </row>
    <row r="61" spans="1:3" ht="13.5" thickBot="1" x14ac:dyDescent="0.25">
      <c r="A61" s="101" t="s">
        <v>508</v>
      </c>
      <c r="B61" s="102"/>
      <c r="C61" s="55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SheetLayoutView="115" zoomScalePageLayoutView="85" workbookViewId="0">
      <selection activeCell="D18" sqref="D18"/>
    </sheetView>
  </sheetViews>
  <sheetFormatPr defaultColWidth="12.5" defaultRowHeight="12.75" x14ac:dyDescent="0.2"/>
  <cols>
    <col min="1" max="1" width="35.83203125" style="754" customWidth="1"/>
    <col min="2" max="2" width="12" style="754" customWidth="1"/>
    <col min="3" max="3" width="16" style="754" customWidth="1"/>
    <col min="4" max="4" width="15" style="768" customWidth="1"/>
    <col min="5" max="5" width="14" style="754" customWidth="1"/>
    <col min="6" max="6" width="13.6640625" style="754" customWidth="1"/>
    <col min="7" max="7" width="13.33203125" style="754" customWidth="1"/>
    <col min="8" max="8" width="14.1640625" style="754" customWidth="1"/>
    <col min="9" max="10" width="12" style="754" customWidth="1"/>
    <col min="11" max="11" width="14.83203125" style="768" customWidth="1"/>
    <col min="12" max="254" width="12.5" style="668"/>
    <col min="255" max="255" width="34" style="668" bestFit="1" customWidth="1"/>
    <col min="256" max="256" width="13" style="668" bestFit="1" customWidth="1"/>
    <col min="257" max="258" width="14.83203125" style="668" bestFit="1" customWidth="1"/>
    <col min="259" max="259" width="13.1640625" style="668" customWidth="1"/>
    <col min="260" max="261" width="13" style="668" bestFit="1" customWidth="1"/>
    <col min="262" max="262" width="12.83203125" style="668" customWidth="1"/>
    <col min="263" max="263" width="11.83203125" style="668" bestFit="1" customWidth="1"/>
    <col min="264" max="264" width="14.83203125" style="668" bestFit="1" customWidth="1"/>
    <col min="265" max="510" width="12.5" style="668"/>
    <col min="511" max="511" width="34" style="668" bestFit="1" customWidth="1"/>
    <col min="512" max="512" width="13" style="668" bestFit="1" customWidth="1"/>
    <col min="513" max="514" width="14.83203125" style="668" bestFit="1" customWidth="1"/>
    <col min="515" max="515" width="13.1640625" style="668" customWidth="1"/>
    <col min="516" max="517" width="13" style="668" bestFit="1" customWidth="1"/>
    <col min="518" max="518" width="12.83203125" style="668" customWidth="1"/>
    <col min="519" max="519" width="11.83203125" style="668" bestFit="1" customWidth="1"/>
    <col min="520" max="520" width="14.83203125" style="668" bestFit="1" customWidth="1"/>
    <col min="521" max="766" width="12.5" style="668"/>
    <col min="767" max="767" width="34" style="668" bestFit="1" customWidth="1"/>
    <col min="768" max="768" width="13" style="668" bestFit="1" customWidth="1"/>
    <col min="769" max="770" width="14.83203125" style="668" bestFit="1" customWidth="1"/>
    <col min="771" max="771" width="13.1640625" style="668" customWidth="1"/>
    <col min="772" max="773" width="13" style="668" bestFit="1" customWidth="1"/>
    <col min="774" max="774" width="12.83203125" style="668" customWidth="1"/>
    <col min="775" max="775" width="11.83203125" style="668" bestFit="1" customWidth="1"/>
    <col min="776" max="776" width="14.83203125" style="668" bestFit="1" customWidth="1"/>
    <col min="777" max="1022" width="12.5" style="668"/>
    <col min="1023" max="1023" width="34" style="668" bestFit="1" customWidth="1"/>
    <col min="1024" max="1024" width="13" style="668" bestFit="1" customWidth="1"/>
    <col min="1025" max="1026" width="14.83203125" style="668" bestFit="1" customWidth="1"/>
    <col min="1027" max="1027" width="13.1640625" style="668" customWidth="1"/>
    <col min="1028" max="1029" width="13" style="668" bestFit="1" customWidth="1"/>
    <col min="1030" max="1030" width="12.83203125" style="668" customWidth="1"/>
    <col min="1031" max="1031" width="11.83203125" style="668" bestFit="1" customWidth="1"/>
    <col min="1032" max="1032" width="14.83203125" style="668" bestFit="1" customWidth="1"/>
    <col min="1033" max="1278" width="12.5" style="668"/>
    <col min="1279" max="1279" width="34" style="668" bestFit="1" customWidth="1"/>
    <col min="1280" max="1280" width="13" style="668" bestFit="1" customWidth="1"/>
    <col min="1281" max="1282" width="14.83203125" style="668" bestFit="1" customWidth="1"/>
    <col min="1283" max="1283" width="13.1640625" style="668" customWidth="1"/>
    <col min="1284" max="1285" width="13" style="668" bestFit="1" customWidth="1"/>
    <col min="1286" max="1286" width="12.83203125" style="668" customWidth="1"/>
    <col min="1287" max="1287" width="11.83203125" style="668" bestFit="1" customWidth="1"/>
    <col min="1288" max="1288" width="14.83203125" style="668" bestFit="1" customWidth="1"/>
    <col min="1289" max="1534" width="12.5" style="668"/>
    <col min="1535" max="1535" width="34" style="668" bestFit="1" customWidth="1"/>
    <col min="1536" max="1536" width="13" style="668" bestFit="1" customWidth="1"/>
    <col min="1537" max="1538" width="14.83203125" style="668" bestFit="1" customWidth="1"/>
    <col min="1539" max="1539" width="13.1640625" style="668" customWidth="1"/>
    <col min="1540" max="1541" width="13" style="668" bestFit="1" customWidth="1"/>
    <col min="1542" max="1542" width="12.83203125" style="668" customWidth="1"/>
    <col min="1543" max="1543" width="11.83203125" style="668" bestFit="1" customWidth="1"/>
    <col min="1544" max="1544" width="14.83203125" style="668" bestFit="1" customWidth="1"/>
    <col min="1545" max="1790" width="12.5" style="668"/>
    <col min="1791" max="1791" width="34" style="668" bestFit="1" customWidth="1"/>
    <col min="1792" max="1792" width="13" style="668" bestFit="1" customWidth="1"/>
    <col min="1793" max="1794" width="14.83203125" style="668" bestFit="1" customWidth="1"/>
    <col min="1795" max="1795" width="13.1640625" style="668" customWidth="1"/>
    <col min="1796" max="1797" width="13" style="668" bestFit="1" customWidth="1"/>
    <col min="1798" max="1798" width="12.83203125" style="668" customWidth="1"/>
    <col min="1799" max="1799" width="11.83203125" style="668" bestFit="1" customWidth="1"/>
    <col min="1800" max="1800" width="14.83203125" style="668" bestFit="1" customWidth="1"/>
    <col min="1801" max="2046" width="12.5" style="668"/>
    <col min="2047" max="2047" width="34" style="668" bestFit="1" customWidth="1"/>
    <col min="2048" max="2048" width="13" style="668" bestFit="1" customWidth="1"/>
    <col min="2049" max="2050" width="14.83203125" style="668" bestFit="1" customWidth="1"/>
    <col min="2051" max="2051" width="13.1640625" style="668" customWidth="1"/>
    <col min="2052" max="2053" width="13" style="668" bestFit="1" customWidth="1"/>
    <col min="2054" max="2054" width="12.83203125" style="668" customWidth="1"/>
    <col min="2055" max="2055" width="11.83203125" style="668" bestFit="1" customWidth="1"/>
    <col min="2056" max="2056" width="14.83203125" style="668" bestFit="1" customWidth="1"/>
    <col min="2057" max="2302" width="12.5" style="668"/>
    <col min="2303" max="2303" width="34" style="668" bestFit="1" customWidth="1"/>
    <col min="2304" max="2304" width="13" style="668" bestFit="1" customWidth="1"/>
    <col min="2305" max="2306" width="14.83203125" style="668" bestFit="1" customWidth="1"/>
    <col min="2307" max="2307" width="13.1640625" style="668" customWidth="1"/>
    <col min="2308" max="2309" width="13" style="668" bestFit="1" customWidth="1"/>
    <col min="2310" max="2310" width="12.83203125" style="668" customWidth="1"/>
    <col min="2311" max="2311" width="11.83203125" style="668" bestFit="1" customWidth="1"/>
    <col min="2312" max="2312" width="14.83203125" style="668" bestFit="1" customWidth="1"/>
    <col min="2313" max="2558" width="12.5" style="668"/>
    <col min="2559" max="2559" width="34" style="668" bestFit="1" customWidth="1"/>
    <col min="2560" max="2560" width="13" style="668" bestFit="1" customWidth="1"/>
    <col min="2561" max="2562" width="14.83203125" style="668" bestFit="1" customWidth="1"/>
    <col min="2563" max="2563" width="13.1640625" style="668" customWidth="1"/>
    <col min="2564" max="2565" width="13" style="668" bestFit="1" customWidth="1"/>
    <col min="2566" max="2566" width="12.83203125" style="668" customWidth="1"/>
    <col min="2567" max="2567" width="11.83203125" style="668" bestFit="1" customWidth="1"/>
    <col min="2568" max="2568" width="14.83203125" style="668" bestFit="1" customWidth="1"/>
    <col min="2569" max="2814" width="12.5" style="668"/>
    <col min="2815" max="2815" width="34" style="668" bestFit="1" customWidth="1"/>
    <col min="2816" max="2816" width="13" style="668" bestFit="1" customWidth="1"/>
    <col min="2817" max="2818" width="14.83203125" style="668" bestFit="1" customWidth="1"/>
    <col min="2819" max="2819" width="13.1640625" style="668" customWidth="1"/>
    <col min="2820" max="2821" width="13" style="668" bestFit="1" customWidth="1"/>
    <col min="2822" max="2822" width="12.83203125" style="668" customWidth="1"/>
    <col min="2823" max="2823" width="11.83203125" style="668" bestFit="1" customWidth="1"/>
    <col min="2824" max="2824" width="14.83203125" style="668" bestFit="1" customWidth="1"/>
    <col min="2825" max="3070" width="12.5" style="668"/>
    <col min="3071" max="3071" width="34" style="668" bestFit="1" customWidth="1"/>
    <col min="3072" max="3072" width="13" style="668" bestFit="1" customWidth="1"/>
    <col min="3073" max="3074" width="14.83203125" style="668" bestFit="1" customWidth="1"/>
    <col min="3075" max="3075" width="13.1640625" style="668" customWidth="1"/>
    <col min="3076" max="3077" width="13" style="668" bestFit="1" customWidth="1"/>
    <col min="3078" max="3078" width="12.83203125" style="668" customWidth="1"/>
    <col min="3079" max="3079" width="11.83203125" style="668" bestFit="1" customWidth="1"/>
    <col min="3080" max="3080" width="14.83203125" style="668" bestFit="1" customWidth="1"/>
    <col min="3081" max="3326" width="12.5" style="668"/>
    <col min="3327" max="3327" width="34" style="668" bestFit="1" customWidth="1"/>
    <col min="3328" max="3328" width="13" style="668" bestFit="1" customWidth="1"/>
    <col min="3329" max="3330" width="14.83203125" style="668" bestFit="1" customWidth="1"/>
    <col min="3331" max="3331" width="13.1640625" style="668" customWidth="1"/>
    <col min="3332" max="3333" width="13" style="668" bestFit="1" customWidth="1"/>
    <col min="3334" max="3334" width="12.83203125" style="668" customWidth="1"/>
    <col min="3335" max="3335" width="11.83203125" style="668" bestFit="1" customWidth="1"/>
    <col min="3336" max="3336" width="14.83203125" style="668" bestFit="1" customWidth="1"/>
    <col min="3337" max="3582" width="12.5" style="668"/>
    <col min="3583" max="3583" width="34" style="668" bestFit="1" customWidth="1"/>
    <col min="3584" max="3584" width="13" style="668" bestFit="1" customWidth="1"/>
    <col min="3585" max="3586" width="14.83203125" style="668" bestFit="1" customWidth="1"/>
    <col min="3587" max="3587" width="13.1640625" style="668" customWidth="1"/>
    <col min="3588" max="3589" width="13" style="668" bestFit="1" customWidth="1"/>
    <col min="3590" max="3590" width="12.83203125" style="668" customWidth="1"/>
    <col min="3591" max="3591" width="11.83203125" style="668" bestFit="1" customWidth="1"/>
    <col min="3592" max="3592" width="14.83203125" style="668" bestFit="1" customWidth="1"/>
    <col min="3593" max="3838" width="12.5" style="668"/>
    <col min="3839" max="3839" width="34" style="668" bestFit="1" customWidth="1"/>
    <col min="3840" max="3840" width="13" style="668" bestFit="1" customWidth="1"/>
    <col min="3841" max="3842" width="14.83203125" style="668" bestFit="1" customWidth="1"/>
    <col min="3843" max="3843" width="13.1640625" style="668" customWidth="1"/>
    <col min="3844" max="3845" width="13" style="668" bestFit="1" customWidth="1"/>
    <col min="3846" max="3846" width="12.83203125" style="668" customWidth="1"/>
    <col min="3847" max="3847" width="11.83203125" style="668" bestFit="1" customWidth="1"/>
    <col min="3848" max="3848" width="14.83203125" style="668" bestFit="1" customWidth="1"/>
    <col min="3849" max="4094" width="12.5" style="668"/>
    <col min="4095" max="4095" width="34" style="668" bestFit="1" customWidth="1"/>
    <col min="4096" max="4096" width="13" style="668" bestFit="1" customWidth="1"/>
    <col min="4097" max="4098" width="14.83203125" style="668" bestFit="1" customWidth="1"/>
    <col min="4099" max="4099" width="13.1640625" style="668" customWidth="1"/>
    <col min="4100" max="4101" width="13" style="668" bestFit="1" customWidth="1"/>
    <col min="4102" max="4102" width="12.83203125" style="668" customWidth="1"/>
    <col min="4103" max="4103" width="11.83203125" style="668" bestFit="1" customWidth="1"/>
    <col min="4104" max="4104" width="14.83203125" style="668" bestFit="1" customWidth="1"/>
    <col min="4105" max="4350" width="12.5" style="668"/>
    <col min="4351" max="4351" width="34" style="668" bestFit="1" customWidth="1"/>
    <col min="4352" max="4352" width="13" style="668" bestFit="1" customWidth="1"/>
    <col min="4353" max="4354" width="14.83203125" style="668" bestFit="1" customWidth="1"/>
    <col min="4355" max="4355" width="13.1640625" style="668" customWidth="1"/>
    <col min="4356" max="4357" width="13" style="668" bestFit="1" customWidth="1"/>
    <col min="4358" max="4358" width="12.83203125" style="668" customWidth="1"/>
    <col min="4359" max="4359" width="11.83203125" style="668" bestFit="1" customWidth="1"/>
    <col min="4360" max="4360" width="14.83203125" style="668" bestFit="1" customWidth="1"/>
    <col min="4361" max="4606" width="12.5" style="668"/>
    <col min="4607" max="4607" width="34" style="668" bestFit="1" customWidth="1"/>
    <col min="4608" max="4608" width="13" style="668" bestFit="1" customWidth="1"/>
    <col min="4609" max="4610" width="14.83203125" style="668" bestFit="1" customWidth="1"/>
    <col min="4611" max="4611" width="13.1640625" style="668" customWidth="1"/>
    <col min="4612" max="4613" width="13" style="668" bestFit="1" customWidth="1"/>
    <col min="4614" max="4614" width="12.83203125" style="668" customWidth="1"/>
    <col min="4615" max="4615" width="11.83203125" style="668" bestFit="1" customWidth="1"/>
    <col min="4616" max="4616" width="14.83203125" style="668" bestFit="1" customWidth="1"/>
    <col min="4617" max="4862" width="12.5" style="668"/>
    <col min="4863" max="4863" width="34" style="668" bestFit="1" customWidth="1"/>
    <col min="4864" max="4864" width="13" style="668" bestFit="1" customWidth="1"/>
    <col min="4865" max="4866" width="14.83203125" style="668" bestFit="1" customWidth="1"/>
    <col min="4867" max="4867" width="13.1640625" style="668" customWidth="1"/>
    <col min="4868" max="4869" width="13" style="668" bestFit="1" customWidth="1"/>
    <col min="4870" max="4870" width="12.83203125" style="668" customWidth="1"/>
    <col min="4871" max="4871" width="11.83203125" style="668" bestFit="1" customWidth="1"/>
    <col min="4872" max="4872" width="14.83203125" style="668" bestFit="1" customWidth="1"/>
    <col min="4873" max="5118" width="12.5" style="668"/>
    <col min="5119" max="5119" width="34" style="668" bestFit="1" customWidth="1"/>
    <col min="5120" max="5120" width="13" style="668" bestFit="1" customWidth="1"/>
    <col min="5121" max="5122" width="14.83203125" style="668" bestFit="1" customWidth="1"/>
    <col min="5123" max="5123" width="13.1640625" style="668" customWidth="1"/>
    <col min="5124" max="5125" width="13" style="668" bestFit="1" customWidth="1"/>
    <col min="5126" max="5126" width="12.83203125" style="668" customWidth="1"/>
    <col min="5127" max="5127" width="11.83203125" style="668" bestFit="1" customWidth="1"/>
    <col min="5128" max="5128" width="14.83203125" style="668" bestFit="1" customWidth="1"/>
    <col min="5129" max="5374" width="12.5" style="668"/>
    <col min="5375" max="5375" width="34" style="668" bestFit="1" customWidth="1"/>
    <col min="5376" max="5376" width="13" style="668" bestFit="1" customWidth="1"/>
    <col min="5377" max="5378" width="14.83203125" style="668" bestFit="1" customWidth="1"/>
    <col min="5379" max="5379" width="13.1640625" style="668" customWidth="1"/>
    <col min="5380" max="5381" width="13" style="668" bestFit="1" customWidth="1"/>
    <col min="5382" max="5382" width="12.83203125" style="668" customWidth="1"/>
    <col min="5383" max="5383" width="11.83203125" style="668" bestFit="1" customWidth="1"/>
    <col min="5384" max="5384" width="14.83203125" style="668" bestFit="1" customWidth="1"/>
    <col min="5385" max="5630" width="12.5" style="668"/>
    <col min="5631" max="5631" width="34" style="668" bestFit="1" customWidth="1"/>
    <col min="5632" max="5632" width="13" style="668" bestFit="1" customWidth="1"/>
    <col min="5633" max="5634" width="14.83203125" style="668" bestFit="1" customWidth="1"/>
    <col min="5635" max="5635" width="13.1640625" style="668" customWidth="1"/>
    <col min="5636" max="5637" width="13" style="668" bestFit="1" customWidth="1"/>
    <col min="5638" max="5638" width="12.83203125" style="668" customWidth="1"/>
    <col min="5639" max="5639" width="11.83203125" style="668" bestFit="1" customWidth="1"/>
    <col min="5640" max="5640" width="14.83203125" style="668" bestFit="1" customWidth="1"/>
    <col min="5641" max="5886" width="12.5" style="668"/>
    <col min="5887" max="5887" width="34" style="668" bestFit="1" customWidth="1"/>
    <col min="5888" max="5888" width="13" style="668" bestFit="1" customWidth="1"/>
    <col min="5889" max="5890" width="14.83203125" style="668" bestFit="1" customWidth="1"/>
    <col min="5891" max="5891" width="13.1640625" style="668" customWidth="1"/>
    <col min="5892" max="5893" width="13" style="668" bestFit="1" customWidth="1"/>
    <col min="5894" max="5894" width="12.83203125" style="668" customWidth="1"/>
    <col min="5895" max="5895" width="11.83203125" style="668" bestFit="1" customWidth="1"/>
    <col min="5896" max="5896" width="14.83203125" style="668" bestFit="1" customWidth="1"/>
    <col min="5897" max="6142" width="12.5" style="668"/>
    <col min="6143" max="6143" width="34" style="668" bestFit="1" customWidth="1"/>
    <col min="6144" max="6144" width="13" style="668" bestFit="1" customWidth="1"/>
    <col min="6145" max="6146" width="14.83203125" style="668" bestFit="1" customWidth="1"/>
    <col min="6147" max="6147" width="13.1640625" style="668" customWidth="1"/>
    <col min="6148" max="6149" width="13" style="668" bestFit="1" customWidth="1"/>
    <col min="6150" max="6150" width="12.83203125" style="668" customWidth="1"/>
    <col min="6151" max="6151" width="11.83203125" style="668" bestFit="1" customWidth="1"/>
    <col min="6152" max="6152" width="14.83203125" style="668" bestFit="1" customWidth="1"/>
    <col min="6153" max="6398" width="12.5" style="668"/>
    <col min="6399" max="6399" width="34" style="668" bestFit="1" customWidth="1"/>
    <col min="6400" max="6400" width="13" style="668" bestFit="1" customWidth="1"/>
    <col min="6401" max="6402" width="14.83203125" style="668" bestFit="1" customWidth="1"/>
    <col min="6403" max="6403" width="13.1640625" style="668" customWidth="1"/>
    <col min="6404" max="6405" width="13" style="668" bestFit="1" customWidth="1"/>
    <col min="6406" max="6406" width="12.83203125" style="668" customWidth="1"/>
    <col min="6407" max="6407" width="11.83203125" style="668" bestFit="1" customWidth="1"/>
    <col min="6408" max="6408" width="14.83203125" style="668" bestFit="1" customWidth="1"/>
    <col min="6409" max="6654" width="12.5" style="668"/>
    <col min="6655" max="6655" width="34" style="668" bestFit="1" customWidth="1"/>
    <col min="6656" max="6656" width="13" style="668" bestFit="1" customWidth="1"/>
    <col min="6657" max="6658" width="14.83203125" style="668" bestFit="1" customWidth="1"/>
    <col min="6659" max="6659" width="13.1640625" style="668" customWidth="1"/>
    <col min="6660" max="6661" width="13" style="668" bestFit="1" customWidth="1"/>
    <col min="6662" max="6662" width="12.83203125" style="668" customWidth="1"/>
    <col min="6663" max="6663" width="11.83203125" style="668" bestFit="1" customWidth="1"/>
    <col min="6664" max="6664" width="14.83203125" style="668" bestFit="1" customWidth="1"/>
    <col min="6665" max="6910" width="12.5" style="668"/>
    <col min="6911" max="6911" width="34" style="668" bestFit="1" customWidth="1"/>
    <col min="6912" max="6912" width="13" style="668" bestFit="1" customWidth="1"/>
    <col min="6913" max="6914" width="14.83203125" style="668" bestFit="1" customWidth="1"/>
    <col min="6915" max="6915" width="13.1640625" style="668" customWidth="1"/>
    <col min="6916" max="6917" width="13" style="668" bestFit="1" customWidth="1"/>
    <col min="6918" max="6918" width="12.83203125" style="668" customWidth="1"/>
    <col min="6919" max="6919" width="11.83203125" style="668" bestFit="1" customWidth="1"/>
    <col min="6920" max="6920" width="14.83203125" style="668" bestFit="1" customWidth="1"/>
    <col min="6921" max="7166" width="12.5" style="668"/>
    <col min="7167" max="7167" width="34" style="668" bestFit="1" customWidth="1"/>
    <col min="7168" max="7168" width="13" style="668" bestFit="1" customWidth="1"/>
    <col min="7169" max="7170" width="14.83203125" style="668" bestFit="1" customWidth="1"/>
    <col min="7171" max="7171" width="13.1640625" style="668" customWidth="1"/>
    <col min="7172" max="7173" width="13" style="668" bestFit="1" customWidth="1"/>
    <col min="7174" max="7174" width="12.83203125" style="668" customWidth="1"/>
    <col min="7175" max="7175" width="11.83203125" style="668" bestFit="1" customWidth="1"/>
    <col min="7176" max="7176" width="14.83203125" style="668" bestFit="1" customWidth="1"/>
    <col min="7177" max="7422" width="12.5" style="668"/>
    <col min="7423" max="7423" width="34" style="668" bestFit="1" customWidth="1"/>
    <col min="7424" max="7424" width="13" style="668" bestFit="1" customWidth="1"/>
    <col min="7425" max="7426" width="14.83203125" style="668" bestFit="1" customWidth="1"/>
    <col min="7427" max="7427" width="13.1640625" style="668" customWidth="1"/>
    <col min="7428" max="7429" width="13" style="668" bestFit="1" customWidth="1"/>
    <col min="7430" max="7430" width="12.83203125" style="668" customWidth="1"/>
    <col min="7431" max="7431" width="11.83203125" style="668" bestFit="1" customWidth="1"/>
    <col min="7432" max="7432" width="14.83203125" style="668" bestFit="1" customWidth="1"/>
    <col min="7433" max="7678" width="12.5" style="668"/>
    <col min="7679" max="7679" width="34" style="668" bestFit="1" customWidth="1"/>
    <col min="7680" max="7680" width="13" style="668" bestFit="1" customWidth="1"/>
    <col min="7681" max="7682" width="14.83203125" style="668" bestFit="1" customWidth="1"/>
    <col min="7683" max="7683" width="13.1640625" style="668" customWidth="1"/>
    <col min="7684" max="7685" width="13" style="668" bestFit="1" customWidth="1"/>
    <col min="7686" max="7686" width="12.83203125" style="668" customWidth="1"/>
    <col min="7687" max="7687" width="11.83203125" style="668" bestFit="1" customWidth="1"/>
    <col min="7688" max="7688" width="14.83203125" style="668" bestFit="1" customWidth="1"/>
    <col min="7689" max="7934" width="12.5" style="668"/>
    <col min="7935" max="7935" width="34" style="668" bestFit="1" customWidth="1"/>
    <col min="7936" max="7936" width="13" style="668" bestFit="1" customWidth="1"/>
    <col min="7937" max="7938" width="14.83203125" style="668" bestFit="1" customWidth="1"/>
    <col min="7939" max="7939" width="13.1640625" style="668" customWidth="1"/>
    <col min="7940" max="7941" width="13" style="668" bestFit="1" customWidth="1"/>
    <col min="7942" max="7942" width="12.83203125" style="668" customWidth="1"/>
    <col min="7943" max="7943" width="11.83203125" style="668" bestFit="1" customWidth="1"/>
    <col min="7944" max="7944" width="14.83203125" style="668" bestFit="1" customWidth="1"/>
    <col min="7945" max="8190" width="12.5" style="668"/>
    <col min="8191" max="8191" width="34" style="668" bestFit="1" customWidth="1"/>
    <col min="8192" max="8192" width="13" style="668" bestFit="1" customWidth="1"/>
    <col min="8193" max="8194" width="14.83203125" style="668" bestFit="1" customWidth="1"/>
    <col min="8195" max="8195" width="13.1640625" style="668" customWidth="1"/>
    <col min="8196" max="8197" width="13" style="668" bestFit="1" customWidth="1"/>
    <col min="8198" max="8198" width="12.83203125" style="668" customWidth="1"/>
    <col min="8199" max="8199" width="11.83203125" style="668" bestFit="1" customWidth="1"/>
    <col min="8200" max="8200" width="14.83203125" style="668" bestFit="1" customWidth="1"/>
    <col min="8201" max="8446" width="12.5" style="668"/>
    <col min="8447" max="8447" width="34" style="668" bestFit="1" customWidth="1"/>
    <col min="8448" max="8448" width="13" style="668" bestFit="1" customWidth="1"/>
    <col min="8449" max="8450" width="14.83203125" style="668" bestFit="1" customWidth="1"/>
    <col min="8451" max="8451" width="13.1640625" style="668" customWidth="1"/>
    <col min="8452" max="8453" width="13" style="668" bestFit="1" customWidth="1"/>
    <col min="8454" max="8454" width="12.83203125" style="668" customWidth="1"/>
    <col min="8455" max="8455" width="11.83203125" style="668" bestFit="1" customWidth="1"/>
    <col min="8456" max="8456" width="14.83203125" style="668" bestFit="1" customWidth="1"/>
    <col min="8457" max="8702" width="12.5" style="668"/>
    <col min="8703" max="8703" width="34" style="668" bestFit="1" customWidth="1"/>
    <col min="8704" max="8704" width="13" style="668" bestFit="1" customWidth="1"/>
    <col min="8705" max="8706" width="14.83203125" style="668" bestFit="1" customWidth="1"/>
    <col min="8707" max="8707" width="13.1640625" style="668" customWidth="1"/>
    <col min="8708" max="8709" width="13" style="668" bestFit="1" customWidth="1"/>
    <col min="8710" max="8710" width="12.83203125" style="668" customWidth="1"/>
    <col min="8711" max="8711" width="11.83203125" style="668" bestFit="1" customWidth="1"/>
    <col min="8712" max="8712" width="14.83203125" style="668" bestFit="1" customWidth="1"/>
    <col min="8713" max="8958" width="12.5" style="668"/>
    <col min="8959" max="8959" width="34" style="668" bestFit="1" customWidth="1"/>
    <col min="8960" max="8960" width="13" style="668" bestFit="1" customWidth="1"/>
    <col min="8961" max="8962" width="14.83203125" style="668" bestFit="1" customWidth="1"/>
    <col min="8963" max="8963" width="13.1640625" style="668" customWidth="1"/>
    <col min="8964" max="8965" width="13" style="668" bestFit="1" customWidth="1"/>
    <col min="8966" max="8966" width="12.83203125" style="668" customWidth="1"/>
    <col min="8967" max="8967" width="11.83203125" style="668" bestFit="1" customWidth="1"/>
    <col min="8968" max="8968" width="14.83203125" style="668" bestFit="1" customWidth="1"/>
    <col min="8969" max="9214" width="12.5" style="668"/>
    <col min="9215" max="9215" width="34" style="668" bestFit="1" customWidth="1"/>
    <col min="9216" max="9216" width="13" style="668" bestFit="1" customWidth="1"/>
    <col min="9217" max="9218" width="14.83203125" style="668" bestFit="1" customWidth="1"/>
    <col min="9219" max="9219" width="13.1640625" style="668" customWidth="1"/>
    <col min="9220" max="9221" width="13" style="668" bestFit="1" customWidth="1"/>
    <col min="9222" max="9222" width="12.83203125" style="668" customWidth="1"/>
    <col min="9223" max="9223" width="11.83203125" style="668" bestFit="1" customWidth="1"/>
    <col min="9224" max="9224" width="14.83203125" style="668" bestFit="1" customWidth="1"/>
    <col min="9225" max="9470" width="12.5" style="668"/>
    <col min="9471" max="9471" width="34" style="668" bestFit="1" customWidth="1"/>
    <col min="9472" max="9472" width="13" style="668" bestFit="1" customWidth="1"/>
    <col min="9473" max="9474" width="14.83203125" style="668" bestFit="1" customWidth="1"/>
    <col min="9475" max="9475" width="13.1640625" style="668" customWidth="1"/>
    <col min="9476" max="9477" width="13" style="668" bestFit="1" customWidth="1"/>
    <col min="9478" max="9478" width="12.83203125" style="668" customWidth="1"/>
    <col min="9479" max="9479" width="11.83203125" style="668" bestFit="1" customWidth="1"/>
    <col min="9480" max="9480" width="14.83203125" style="668" bestFit="1" customWidth="1"/>
    <col min="9481" max="9726" width="12.5" style="668"/>
    <col min="9727" max="9727" width="34" style="668" bestFit="1" customWidth="1"/>
    <col min="9728" max="9728" width="13" style="668" bestFit="1" customWidth="1"/>
    <col min="9729" max="9730" width="14.83203125" style="668" bestFit="1" customWidth="1"/>
    <col min="9731" max="9731" width="13.1640625" style="668" customWidth="1"/>
    <col min="9732" max="9733" width="13" style="668" bestFit="1" customWidth="1"/>
    <col min="9734" max="9734" width="12.83203125" style="668" customWidth="1"/>
    <col min="9735" max="9735" width="11.83203125" style="668" bestFit="1" customWidth="1"/>
    <col min="9736" max="9736" width="14.83203125" style="668" bestFit="1" customWidth="1"/>
    <col min="9737" max="9982" width="12.5" style="668"/>
    <col min="9983" max="9983" width="34" style="668" bestFit="1" customWidth="1"/>
    <col min="9984" max="9984" width="13" style="668" bestFit="1" customWidth="1"/>
    <col min="9985" max="9986" width="14.83203125" style="668" bestFit="1" customWidth="1"/>
    <col min="9987" max="9987" width="13.1640625" style="668" customWidth="1"/>
    <col min="9988" max="9989" width="13" style="668" bestFit="1" customWidth="1"/>
    <col min="9990" max="9990" width="12.83203125" style="668" customWidth="1"/>
    <col min="9991" max="9991" width="11.83203125" style="668" bestFit="1" customWidth="1"/>
    <col min="9992" max="9992" width="14.83203125" style="668" bestFit="1" customWidth="1"/>
    <col min="9993" max="10238" width="12.5" style="668"/>
    <col min="10239" max="10239" width="34" style="668" bestFit="1" customWidth="1"/>
    <col min="10240" max="10240" width="13" style="668" bestFit="1" customWidth="1"/>
    <col min="10241" max="10242" width="14.83203125" style="668" bestFit="1" customWidth="1"/>
    <col min="10243" max="10243" width="13.1640625" style="668" customWidth="1"/>
    <col min="10244" max="10245" width="13" style="668" bestFit="1" customWidth="1"/>
    <col min="10246" max="10246" width="12.83203125" style="668" customWidth="1"/>
    <col min="10247" max="10247" width="11.83203125" style="668" bestFit="1" customWidth="1"/>
    <col min="10248" max="10248" width="14.83203125" style="668" bestFit="1" customWidth="1"/>
    <col min="10249" max="10494" width="12.5" style="668"/>
    <col min="10495" max="10495" width="34" style="668" bestFit="1" customWidth="1"/>
    <col min="10496" max="10496" width="13" style="668" bestFit="1" customWidth="1"/>
    <col min="10497" max="10498" width="14.83203125" style="668" bestFit="1" customWidth="1"/>
    <col min="10499" max="10499" width="13.1640625" style="668" customWidth="1"/>
    <col min="10500" max="10501" width="13" style="668" bestFit="1" customWidth="1"/>
    <col min="10502" max="10502" width="12.83203125" style="668" customWidth="1"/>
    <col min="10503" max="10503" width="11.83203125" style="668" bestFit="1" customWidth="1"/>
    <col min="10504" max="10504" width="14.83203125" style="668" bestFit="1" customWidth="1"/>
    <col min="10505" max="10750" width="12.5" style="668"/>
    <col min="10751" max="10751" width="34" style="668" bestFit="1" customWidth="1"/>
    <col min="10752" max="10752" width="13" style="668" bestFit="1" customWidth="1"/>
    <col min="10753" max="10754" width="14.83203125" style="668" bestFit="1" customWidth="1"/>
    <col min="10755" max="10755" width="13.1640625" style="668" customWidth="1"/>
    <col min="10756" max="10757" width="13" style="668" bestFit="1" customWidth="1"/>
    <col min="10758" max="10758" width="12.83203125" style="668" customWidth="1"/>
    <col min="10759" max="10759" width="11.83203125" style="668" bestFit="1" customWidth="1"/>
    <col min="10760" max="10760" width="14.83203125" style="668" bestFit="1" customWidth="1"/>
    <col min="10761" max="11006" width="12.5" style="668"/>
    <col min="11007" max="11007" width="34" style="668" bestFit="1" customWidth="1"/>
    <col min="11008" max="11008" width="13" style="668" bestFit="1" customWidth="1"/>
    <col min="11009" max="11010" width="14.83203125" style="668" bestFit="1" customWidth="1"/>
    <col min="11011" max="11011" width="13.1640625" style="668" customWidth="1"/>
    <col min="11012" max="11013" width="13" style="668" bestFit="1" customWidth="1"/>
    <col min="11014" max="11014" width="12.83203125" style="668" customWidth="1"/>
    <col min="11015" max="11015" width="11.83203125" style="668" bestFit="1" customWidth="1"/>
    <col min="11016" max="11016" width="14.83203125" style="668" bestFit="1" customWidth="1"/>
    <col min="11017" max="11262" width="12.5" style="668"/>
    <col min="11263" max="11263" width="34" style="668" bestFit="1" customWidth="1"/>
    <col min="11264" max="11264" width="13" style="668" bestFit="1" customWidth="1"/>
    <col min="11265" max="11266" width="14.83203125" style="668" bestFit="1" customWidth="1"/>
    <col min="11267" max="11267" width="13.1640625" style="668" customWidth="1"/>
    <col min="11268" max="11269" width="13" style="668" bestFit="1" customWidth="1"/>
    <col min="11270" max="11270" width="12.83203125" style="668" customWidth="1"/>
    <col min="11271" max="11271" width="11.83203125" style="668" bestFit="1" customWidth="1"/>
    <col min="11272" max="11272" width="14.83203125" style="668" bestFit="1" customWidth="1"/>
    <col min="11273" max="11518" width="12.5" style="668"/>
    <col min="11519" max="11519" width="34" style="668" bestFit="1" customWidth="1"/>
    <col min="11520" max="11520" width="13" style="668" bestFit="1" customWidth="1"/>
    <col min="11521" max="11522" width="14.83203125" style="668" bestFit="1" customWidth="1"/>
    <col min="11523" max="11523" width="13.1640625" style="668" customWidth="1"/>
    <col min="11524" max="11525" width="13" style="668" bestFit="1" customWidth="1"/>
    <col min="11526" max="11526" width="12.83203125" style="668" customWidth="1"/>
    <col min="11527" max="11527" width="11.83203125" style="668" bestFit="1" customWidth="1"/>
    <col min="11528" max="11528" width="14.83203125" style="668" bestFit="1" customWidth="1"/>
    <col min="11529" max="11774" width="12.5" style="668"/>
    <col min="11775" max="11775" width="34" style="668" bestFit="1" customWidth="1"/>
    <col min="11776" max="11776" width="13" style="668" bestFit="1" customWidth="1"/>
    <col min="11777" max="11778" width="14.83203125" style="668" bestFit="1" customWidth="1"/>
    <col min="11779" max="11779" width="13.1640625" style="668" customWidth="1"/>
    <col min="11780" max="11781" width="13" style="668" bestFit="1" customWidth="1"/>
    <col min="11782" max="11782" width="12.83203125" style="668" customWidth="1"/>
    <col min="11783" max="11783" width="11.83203125" style="668" bestFit="1" customWidth="1"/>
    <col min="11784" max="11784" width="14.83203125" style="668" bestFit="1" customWidth="1"/>
    <col min="11785" max="12030" width="12.5" style="668"/>
    <col min="12031" max="12031" width="34" style="668" bestFit="1" customWidth="1"/>
    <col min="12032" max="12032" width="13" style="668" bestFit="1" customWidth="1"/>
    <col min="12033" max="12034" width="14.83203125" style="668" bestFit="1" customWidth="1"/>
    <col min="12035" max="12035" width="13.1640625" style="668" customWidth="1"/>
    <col min="12036" max="12037" width="13" style="668" bestFit="1" customWidth="1"/>
    <col min="12038" max="12038" width="12.83203125" style="668" customWidth="1"/>
    <col min="12039" max="12039" width="11.83203125" style="668" bestFit="1" customWidth="1"/>
    <col min="12040" max="12040" width="14.83203125" style="668" bestFit="1" customWidth="1"/>
    <col min="12041" max="12286" width="12.5" style="668"/>
    <col min="12287" max="12287" width="34" style="668" bestFit="1" customWidth="1"/>
    <col min="12288" max="12288" width="13" style="668" bestFit="1" customWidth="1"/>
    <col min="12289" max="12290" width="14.83203125" style="668" bestFit="1" customWidth="1"/>
    <col min="12291" max="12291" width="13.1640625" style="668" customWidth="1"/>
    <col min="12292" max="12293" width="13" style="668" bestFit="1" customWidth="1"/>
    <col min="12294" max="12294" width="12.83203125" style="668" customWidth="1"/>
    <col min="12295" max="12295" width="11.83203125" style="668" bestFit="1" customWidth="1"/>
    <col min="12296" max="12296" width="14.83203125" style="668" bestFit="1" customWidth="1"/>
    <col min="12297" max="12542" width="12.5" style="668"/>
    <col min="12543" max="12543" width="34" style="668" bestFit="1" customWidth="1"/>
    <col min="12544" max="12544" width="13" style="668" bestFit="1" customWidth="1"/>
    <col min="12545" max="12546" width="14.83203125" style="668" bestFit="1" customWidth="1"/>
    <col min="12547" max="12547" width="13.1640625" style="668" customWidth="1"/>
    <col min="12548" max="12549" width="13" style="668" bestFit="1" customWidth="1"/>
    <col min="12550" max="12550" width="12.83203125" style="668" customWidth="1"/>
    <col min="12551" max="12551" width="11.83203125" style="668" bestFit="1" customWidth="1"/>
    <col min="12552" max="12552" width="14.83203125" style="668" bestFit="1" customWidth="1"/>
    <col min="12553" max="12798" width="12.5" style="668"/>
    <col min="12799" max="12799" width="34" style="668" bestFit="1" customWidth="1"/>
    <col min="12800" max="12800" width="13" style="668" bestFit="1" customWidth="1"/>
    <col min="12801" max="12802" width="14.83203125" style="668" bestFit="1" customWidth="1"/>
    <col min="12803" max="12803" width="13.1640625" style="668" customWidth="1"/>
    <col min="12804" max="12805" width="13" style="668" bestFit="1" customWidth="1"/>
    <col min="12806" max="12806" width="12.83203125" style="668" customWidth="1"/>
    <col min="12807" max="12807" width="11.83203125" style="668" bestFit="1" customWidth="1"/>
    <col min="12808" max="12808" width="14.83203125" style="668" bestFit="1" customWidth="1"/>
    <col min="12809" max="13054" width="12.5" style="668"/>
    <col min="13055" max="13055" width="34" style="668" bestFit="1" customWidth="1"/>
    <col min="13056" max="13056" width="13" style="668" bestFit="1" customWidth="1"/>
    <col min="13057" max="13058" width="14.83203125" style="668" bestFit="1" customWidth="1"/>
    <col min="13059" max="13059" width="13.1640625" style="668" customWidth="1"/>
    <col min="13060" max="13061" width="13" style="668" bestFit="1" customWidth="1"/>
    <col min="13062" max="13062" width="12.83203125" style="668" customWidth="1"/>
    <col min="13063" max="13063" width="11.83203125" style="668" bestFit="1" customWidth="1"/>
    <col min="13064" max="13064" width="14.83203125" style="668" bestFit="1" customWidth="1"/>
    <col min="13065" max="13310" width="12.5" style="668"/>
    <col min="13311" max="13311" width="34" style="668" bestFit="1" customWidth="1"/>
    <col min="13312" max="13312" width="13" style="668" bestFit="1" customWidth="1"/>
    <col min="13313" max="13314" width="14.83203125" style="668" bestFit="1" customWidth="1"/>
    <col min="13315" max="13315" width="13.1640625" style="668" customWidth="1"/>
    <col min="13316" max="13317" width="13" style="668" bestFit="1" customWidth="1"/>
    <col min="13318" max="13318" width="12.83203125" style="668" customWidth="1"/>
    <col min="13319" max="13319" width="11.83203125" style="668" bestFit="1" customWidth="1"/>
    <col min="13320" max="13320" width="14.83203125" style="668" bestFit="1" customWidth="1"/>
    <col min="13321" max="13566" width="12.5" style="668"/>
    <col min="13567" max="13567" width="34" style="668" bestFit="1" customWidth="1"/>
    <col min="13568" max="13568" width="13" style="668" bestFit="1" customWidth="1"/>
    <col min="13569" max="13570" width="14.83203125" style="668" bestFit="1" customWidth="1"/>
    <col min="13571" max="13571" width="13.1640625" style="668" customWidth="1"/>
    <col min="13572" max="13573" width="13" style="668" bestFit="1" customWidth="1"/>
    <col min="13574" max="13574" width="12.83203125" style="668" customWidth="1"/>
    <col min="13575" max="13575" width="11.83203125" style="668" bestFit="1" customWidth="1"/>
    <col min="13576" max="13576" width="14.83203125" style="668" bestFit="1" customWidth="1"/>
    <col min="13577" max="13822" width="12.5" style="668"/>
    <col min="13823" max="13823" width="34" style="668" bestFit="1" customWidth="1"/>
    <col min="13824" max="13824" width="13" style="668" bestFit="1" customWidth="1"/>
    <col min="13825" max="13826" width="14.83203125" style="668" bestFit="1" customWidth="1"/>
    <col min="13827" max="13827" width="13.1640625" style="668" customWidth="1"/>
    <col min="13828" max="13829" width="13" style="668" bestFit="1" customWidth="1"/>
    <col min="13830" max="13830" width="12.83203125" style="668" customWidth="1"/>
    <col min="13831" max="13831" width="11.83203125" style="668" bestFit="1" customWidth="1"/>
    <col min="13832" max="13832" width="14.83203125" style="668" bestFit="1" customWidth="1"/>
    <col min="13833" max="14078" width="12.5" style="668"/>
    <col min="14079" max="14079" width="34" style="668" bestFit="1" customWidth="1"/>
    <col min="14080" max="14080" width="13" style="668" bestFit="1" customWidth="1"/>
    <col min="14081" max="14082" width="14.83203125" style="668" bestFit="1" customWidth="1"/>
    <col min="14083" max="14083" width="13.1640625" style="668" customWidth="1"/>
    <col min="14084" max="14085" width="13" style="668" bestFit="1" customWidth="1"/>
    <col min="14086" max="14086" width="12.83203125" style="668" customWidth="1"/>
    <col min="14087" max="14087" width="11.83203125" style="668" bestFit="1" customWidth="1"/>
    <col min="14088" max="14088" width="14.83203125" style="668" bestFit="1" customWidth="1"/>
    <col min="14089" max="14334" width="12.5" style="668"/>
    <col min="14335" max="14335" width="34" style="668" bestFit="1" customWidth="1"/>
    <col min="14336" max="14336" width="13" style="668" bestFit="1" customWidth="1"/>
    <col min="14337" max="14338" width="14.83203125" style="668" bestFit="1" customWidth="1"/>
    <col min="14339" max="14339" width="13.1640625" style="668" customWidth="1"/>
    <col min="14340" max="14341" width="13" style="668" bestFit="1" customWidth="1"/>
    <col min="14342" max="14342" width="12.83203125" style="668" customWidth="1"/>
    <col min="14343" max="14343" width="11.83203125" style="668" bestFit="1" customWidth="1"/>
    <col min="14344" max="14344" width="14.83203125" style="668" bestFit="1" customWidth="1"/>
    <col min="14345" max="14590" width="12.5" style="668"/>
    <col min="14591" max="14591" width="34" style="668" bestFit="1" customWidth="1"/>
    <col min="14592" max="14592" width="13" style="668" bestFit="1" customWidth="1"/>
    <col min="14593" max="14594" width="14.83203125" style="668" bestFit="1" customWidth="1"/>
    <col min="14595" max="14595" width="13.1640625" style="668" customWidth="1"/>
    <col min="14596" max="14597" width="13" style="668" bestFit="1" customWidth="1"/>
    <col min="14598" max="14598" width="12.83203125" style="668" customWidth="1"/>
    <col min="14599" max="14599" width="11.83203125" style="668" bestFit="1" customWidth="1"/>
    <col min="14600" max="14600" width="14.83203125" style="668" bestFit="1" customWidth="1"/>
    <col min="14601" max="14846" width="12.5" style="668"/>
    <col min="14847" max="14847" width="34" style="668" bestFit="1" customWidth="1"/>
    <col min="14848" max="14848" width="13" style="668" bestFit="1" customWidth="1"/>
    <col min="14849" max="14850" width="14.83203125" style="668" bestFit="1" customWidth="1"/>
    <col min="14851" max="14851" width="13.1640625" style="668" customWidth="1"/>
    <col min="14852" max="14853" width="13" style="668" bestFit="1" customWidth="1"/>
    <col min="14854" max="14854" width="12.83203125" style="668" customWidth="1"/>
    <col min="14855" max="14855" width="11.83203125" style="668" bestFit="1" customWidth="1"/>
    <col min="14856" max="14856" width="14.83203125" style="668" bestFit="1" customWidth="1"/>
    <col min="14857" max="15102" width="12.5" style="668"/>
    <col min="15103" max="15103" width="34" style="668" bestFit="1" customWidth="1"/>
    <col min="15104" max="15104" width="13" style="668" bestFit="1" customWidth="1"/>
    <col min="15105" max="15106" width="14.83203125" style="668" bestFit="1" customWidth="1"/>
    <col min="15107" max="15107" width="13.1640625" style="668" customWidth="1"/>
    <col min="15108" max="15109" width="13" style="668" bestFit="1" customWidth="1"/>
    <col min="15110" max="15110" width="12.83203125" style="668" customWidth="1"/>
    <col min="15111" max="15111" width="11.83203125" style="668" bestFit="1" customWidth="1"/>
    <col min="15112" max="15112" width="14.83203125" style="668" bestFit="1" customWidth="1"/>
    <col min="15113" max="15358" width="12.5" style="668"/>
    <col min="15359" max="15359" width="34" style="668" bestFit="1" customWidth="1"/>
    <col min="15360" max="15360" width="13" style="668" bestFit="1" customWidth="1"/>
    <col min="15361" max="15362" width="14.83203125" style="668" bestFit="1" customWidth="1"/>
    <col min="15363" max="15363" width="13.1640625" style="668" customWidth="1"/>
    <col min="15364" max="15365" width="13" style="668" bestFit="1" customWidth="1"/>
    <col min="15366" max="15366" width="12.83203125" style="668" customWidth="1"/>
    <col min="15367" max="15367" width="11.83203125" style="668" bestFit="1" customWidth="1"/>
    <col min="15368" max="15368" width="14.83203125" style="668" bestFit="1" customWidth="1"/>
    <col min="15369" max="15614" width="12.5" style="668"/>
    <col min="15615" max="15615" width="34" style="668" bestFit="1" customWidth="1"/>
    <col min="15616" max="15616" width="13" style="668" bestFit="1" customWidth="1"/>
    <col min="15617" max="15618" width="14.83203125" style="668" bestFit="1" customWidth="1"/>
    <col min="15619" max="15619" width="13.1640625" style="668" customWidth="1"/>
    <col min="15620" max="15621" width="13" style="668" bestFit="1" customWidth="1"/>
    <col min="15622" max="15622" width="12.83203125" style="668" customWidth="1"/>
    <col min="15623" max="15623" width="11.83203125" style="668" bestFit="1" customWidth="1"/>
    <col min="15624" max="15624" width="14.83203125" style="668" bestFit="1" customWidth="1"/>
    <col min="15625" max="15870" width="12.5" style="668"/>
    <col min="15871" max="15871" width="34" style="668" bestFit="1" customWidth="1"/>
    <col min="15872" max="15872" width="13" style="668" bestFit="1" customWidth="1"/>
    <col min="15873" max="15874" width="14.83203125" style="668" bestFit="1" customWidth="1"/>
    <col min="15875" max="15875" width="13.1640625" style="668" customWidth="1"/>
    <col min="15876" max="15877" width="13" style="668" bestFit="1" customWidth="1"/>
    <col min="15878" max="15878" width="12.83203125" style="668" customWidth="1"/>
    <col min="15879" max="15879" width="11.83203125" style="668" bestFit="1" customWidth="1"/>
    <col min="15880" max="15880" width="14.83203125" style="668" bestFit="1" customWidth="1"/>
    <col min="15881" max="16126" width="12.5" style="668"/>
    <col min="16127" max="16127" width="34" style="668" bestFit="1" customWidth="1"/>
    <col min="16128" max="16128" width="13" style="668" bestFit="1" customWidth="1"/>
    <col min="16129" max="16130" width="14.83203125" style="668" bestFit="1" customWidth="1"/>
    <col min="16131" max="16131" width="13.1640625" style="668" customWidth="1"/>
    <col min="16132" max="16133" width="13" style="668" bestFit="1" customWidth="1"/>
    <col min="16134" max="16134" width="12.83203125" style="668" customWidth="1"/>
    <col min="16135" max="16135" width="11.83203125" style="668" bestFit="1" customWidth="1"/>
    <col min="16136" max="16136" width="14.83203125" style="668" bestFit="1" customWidth="1"/>
    <col min="16137" max="16384" width="12.5" style="668"/>
  </cols>
  <sheetData>
    <row r="1" spans="1:11" x14ac:dyDescent="0.2">
      <c r="A1" s="1479" t="str">
        <f>CONCATENATE("10. melléklet"," ",ALAPADATOK!A7," ",ALAPADATOK!B7," ",ALAPADATOK!C7," ",ALAPADATOK!D7," ",ALAPADATOK!E7," ",ALAPADATOK!F7," ",ALAPADATOK!G7," ",ALAPADATOK!H7)</f>
        <v>10. melléklet a 2 / 2021. ( II.15. ) önkormányzati rendelethez</v>
      </c>
      <c r="B1" s="1479"/>
      <c r="C1" s="1479"/>
      <c r="D1" s="1479"/>
      <c r="E1" s="1479"/>
      <c r="F1" s="1479"/>
      <c r="G1" s="1479"/>
      <c r="H1" s="1479"/>
      <c r="I1" s="1479"/>
      <c r="J1" s="1479"/>
      <c r="K1" s="1479"/>
    </row>
    <row r="2" spans="1:11" x14ac:dyDescent="0.2">
      <c r="A2" s="752"/>
      <c r="B2" s="752"/>
      <c r="C2" s="752"/>
      <c r="D2" s="753"/>
      <c r="E2" s="752"/>
      <c r="F2" s="752"/>
      <c r="G2" s="755"/>
      <c r="H2" s="755"/>
      <c r="I2" s="755"/>
      <c r="J2" s="755"/>
      <c r="K2" s="756"/>
    </row>
    <row r="3" spans="1:11" x14ac:dyDescent="0.2">
      <c r="A3" s="752"/>
      <c r="B3" s="752"/>
      <c r="C3" s="752"/>
      <c r="D3" s="753"/>
      <c r="E3" s="752"/>
      <c r="F3" s="752"/>
      <c r="G3" s="755"/>
      <c r="H3" s="755"/>
      <c r="I3" s="755"/>
      <c r="J3" s="755"/>
      <c r="K3" s="757"/>
    </row>
    <row r="4" spans="1:11" ht="19.5" x14ac:dyDescent="0.35">
      <c r="A4" s="758" t="s">
        <v>382</v>
      </c>
      <c r="B4" s="758"/>
      <c r="C4" s="758"/>
      <c r="D4" s="758"/>
      <c r="E4" s="758"/>
      <c r="F4" s="758"/>
      <c r="G4" s="758"/>
      <c r="H4" s="758"/>
      <c r="I4" s="758"/>
      <c r="J4" s="758"/>
      <c r="K4" s="758"/>
    </row>
    <row r="5" spans="1:11" ht="19.5" x14ac:dyDescent="0.35">
      <c r="A5" s="758" t="s">
        <v>873</v>
      </c>
      <c r="B5" s="758"/>
      <c r="C5" s="758"/>
      <c r="D5" s="758"/>
      <c r="E5" s="758"/>
      <c r="F5" s="758"/>
      <c r="G5" s="758"/>
      <c r="H5" s="758"/>
      <c r="I5" s="758"/>
      <c r="J5" s="758"/>
      <c r="K5" s="758"/>
    </row>
    <row r="6" spans="1:11" ht="13.5" thickBot="1" x14ac:dyDescent="0.25">
      <c r="A6" s="752"/>
      <c r="B6" s="752"/>
      <c r="C6" s="752"/>
      <c r="D6" s="753"/>
      <c r="E6" s="752"/>
      <c r="F6" s="752"/>
      <c r="G6" s="752"/>
      <c r="H6" s="752"/>
      <c r="I6" s="752"/>
      <c r="J6" s="752"/>
      <c r="K6" s="759" t="s">
        <v>4</v>
      </c>
    </row>
    <row r="7" spans="1:11" ht="15.95" customHeight="1" x14ac:dyDescent="0.2">
      <c r="A7" s="1480" t="s">
        <v>2</v>
      </c>
      <c r="B7" s="1483" t="s">
        <v>383</v>
      </c>
      <c r="C7" s="1484"/>
      <c r="D7" s="1484"/>
      <c r="E7" s="1485" t="s">
        <v>559</v>
      </c>
      <c r="F7" s="1486"/>
      <c r="G7" s="1486"/>
      <c r="H7" s="1486"/>
      <c r="I7" s="1486"/>
      <c r="J7" s="1486"/>
      <c r="K7" s="1487"/>
    </row>
    <row r="8" spans="1:11" ht="15.95" customHeight="1" x14ac:dyDescent="0.2">
      <c r="A8" s="1481"/>
      <c r="B8" s="760" t="s">
        <v>384</v>
      </c>
      <c r="C8" s="760" t="s">
        <v>385</v>
      </c>
      <c r="D8" s="760" t="s">
        <v>386</v>
      </c>
      <c r="E8" s="760" t="s">
        <v>387</v>
      </c>
      <c r="F8" s="760" t="s">
        <v>388</v>
      </c>
      <c r="G8" s="760" t="s">
        <v>389</v>
      </c>
      <c r="H8" s="1488" t="s">
        <v>148</v>
      </c>
      <c r="I8" s="760" t="s">
        <v>390</v>
      </c>
      <c r="J8" s="760" t="s">
        <v>391</v>
      </c>
      <c r="K8" s="761" t="s">
        <v>386</v>
      </c>
    </row>
    <row r="9" spans="1:11" ht="15.95" customHeight="1" x14ac:dyDescent="0.2">
      <c r="A9" s="1482"/>
      <c r="B9" s="760" t="s">
        <v>392</v>
      </c>
      <c r="C9" s="760" t="s">
        <v>393</v>
      </c>
      <c r="D9" s="760" t="s">
        <v>394</v>
      </c>
      <c r="E9" s="760" t="s">
        <v>395</v>
      </c>
      <c r="F9" s="760" t="s">
        <v>396</v>
      </c>
      <c r="G9" s="760" t="s">
        <v>397</v>
      </c>
      <c r="H9" s="1489"/>
      <c r="I9" s="760" t="s">
        <v>398</v>
      </c>
      <c r="J9" s="760" t="s">
        <v>397</v>
      </c>
      <c r="K9" s="761" t="s">
        <v>399</v>
      </c>
    </row>
    <row r="10" spans="1:11" ht="15.95" customHeight="1" x14ac:dyDescent="0.2">
      <c r="A10" s="762" t="s">
        <v>400</v>
      </c>
      <c r="B10" s="1398">
        <v>67289641</v>
      </c>
      <c r="C10" s="1398">
        <f t="shared" ref="C10:C14" si="0">K10-B10</f>
        <v>166233753</v>
      </c>
      <c r="D10" s="1054">
        <f t="shared" ref="D10:D14" si="1">SUM(B10:C10)</f>
        <v>233523394</v>
      </c>
      <c r="E10" s="1027">
        <v>71998629</v>
      </c>
      <c r="F10" s="1027">
        <v>11651828</v>
      </c>
      <c r="G10" s="1027">
        <v>149872937</v>
      </c>
      <c r="H10" s="1027"/>
      <c r="I10" s="1027"/>
      <c r="J10" s="1027"/>
      <c r="K10" s="1026">
        <f t="shared" ref="K10:K14" si="2">SUM(E10:J10)</f>
        <v>233523394</v>
      </c>
    </row>
    <row r="11" spans="1:11" ht="15.95" customHeight="1" x14ac:dyDescent="0.2">
      <c r="A11" s="762" t="s">
        <v>0</v>
      </c>
      <c r="B11" s="1398">
        <v>9458552</v>
      </c>
      <c r="C11" s="1398">
        <f t="shared" si="0"/>
        <v>335938966</v>
      </c>
      <c r="D11" s="1054">
        <f t="shared" si="1"/>
        <v>345397518</v>
      </c>
      <c r="E11" s="1027">
        <v>218334179</v>
      </c>
      <c r="F11" s="1027">
        <v>38909967</v>
      </c>
      <c r="G11" s="1027">
        <v>87035872</v>
      </c>
      <c r="H11" s="1027"/>
      <c r="I11" s="1027"/>
      <c r="J11" s="1027">
        <v>1117500</v>
      </c>
      <c r="K11" s="1026">
        <f t="shared" si="2"/>
        <v>345397518</v>
      </c>
    </row>
    <row r="12" spans="1:11" ht="15.95" customHeight="1" x14ac:dyDescent="0.2">
      <c r="A12" s="762" t="s">
        <v>549</v>
      </c>
      <c r="B12" s="1398">
        <v>75261629</v>
      </c>
      <c r="C12" s="1398">
        <f t="shared" si="0"/>
        <v>111328704</v>
      </c>
      <c r="D12" s="1054">
        <f t="shared" si="1"/>
        <v>186590333</v>
      </c>
      <c r="E12" s="1027">
        <v>56715808</v>
      </c>
      <c r="F12" s="1027">
        <v>9106816</v>
      </c>
      <c r="G12" s="1027">
        <v>61195180</v>
      </c>
      <c r="H12" s="1027"/>
      <c r="I12" s="1027"/>
      <c r="J12" s="1027">
        <v>59572529</v>
      </c>
      <c r="K12" s="1026">
        <f t="shared" si="2"/>
        <v>186590333</v>
      </c>
    </row>
    <row r="13" spans="1:11" s="309" customFormat="1" ht="18" customHeight="1" x14ac:dyDescent="0.2">
      <c r="A13" s="763" t="s">
        <v>532</v>
      </c>
      <c r="B13" s="1399">
        <v>305282069</v>
      </c>
      <c r="C13" s="1398">
        <f t="shared" si="0"/>
        <v>651585517</v>
      </c>
      <c r="D13" s="1054">
        <f t="shared" si="1"/>
        <v>956867586</v>
      </c>
      <c r="E13" s="1027">
        <v>615034869</v>
      </c>
      <c r="F13" s="1027">
        <v>105575946</v>
      </c>
      <c r="G13" s="1027">
        <v>221374740</v>
      </c>
      <c r="H13" s="1027"/>
      <c r="I13" s="1027"/>
      <c r="J13" s="1027">
        <v>14882031</v>
      </c>
      <c r="K13" s="1026">
        <f t="shared" si="2"/>
        <v>956867586</v>
      </c>
    </row>
    <row r="14" spans="1:11" s="309" customFormat="1" ht="18" customHeight="1" x14ac:dyDescent="0.2">
      <c r="A14" s="763" t="s">
        <v>522</v>
      </c>
      <c r="B14" s="1399">
        <v>1460163</v>
      </c>
      <c r="C14" s="1398">
        <f t="shared" si="0"/>
        <v>110066135</v>
      </c>
      <c r="D14" s="1054">
        <f t="shared" si="1"/>
        <v>111526298</v>
      </c>
      <c r="E14" s="1400">
        <v>82248525</v>
      </c>
      <c r="F14" s="1400">
        <v>13031917</v>
      </c>
      <c r="G14" s="1400">
        <v>16220856</v>
      </c>
      <c r="H14" s="1028"/>
      <c r="I14" s="1028"/>
      <c r="J14" s="1028">
        <v>25000</v>
      </c>
      <c r="K14" s="1026">
        <f t="shared" si="2"/>
        <v>111526298</v>
      </c>
    </row>
    <row r="15" spans="1:11" s="309" customFormat="1" ht="18" customHeight="1" x14ac:dyDescent="0.2">
      <c r="A15" s="763" t="s">
        <v>533</v>
      </c>
      <c r="B15" s="1101">
        <f>'9.2. sz. mell. '!C38+'9.2. sz. mell. '!C40</f>
        <v>10305313</v>
      </c>
      <c r="C15" s="1100">
        <f t="shared" ref="C15" si="3">K15-B15</f>
        <v>228893476</v>
      </c>
      <c r="D15" s="1054">
        <f t="shared" ref="D15" si="4">SUM(B15:C15)</f>
        <v>239198789</v>
      </c>
      <c r="E15" s="1102">
        <f>'9.2. sz. mell. '!C48</f>
        <v>166097510</v>
      </c>
      <c r="F15" s="1102">
        <f>'9.2. sz. mell. '!C49</f>
        <v>29077925</v>
      </c>
      <c r="G15" s="1102">
        <f>'9.2. sz. mell. '!C50</f>
        <v>41258155</v>
      </c>
      <c r="H15" s="1028"/>
      <c r="I15" s="1028"/>
      <c r="J15" s="1102">
        <f>'9.2. sz. mell. '!C54</f>
        <v>2765199</v>
      </c>
      <c r="K15" s="1026">
        <f t="shared" ref="K15" si="5">SUM(E15:J15)</f>
        <v>239198789</v>
      </c>
    </row>
    <row r="16" spans="1:11" s="474" customFormat="1" ht="18" customHeight="1" thickBot="1" x14ac:dyDescent="0.25">
      <c r="A16" s="764" t="s">
        <v>402</v>
      </c>
      <c r="B16" s="1004">
        <f t="shared" ref="B16:J16" si="6">SUM(B10:B15)</f>
        <v>469057367</v>
      </c>
      <c r="C16" s="1103">
        <f t="shared" si="6"/>
        <v>1604046551</v>
      </c>
      <c r="D16" s="1103">
        <f t="shared" si="6"/>
        <v>2073103918</v>
      </c>
      <c r="E16" s="1103">
        <f t="shared" si="6"/>
        <v>1210429520</v>
      </c>
      <c r="F16" s="1103">
        <f t="shared" si="6"/>
        <v>207354399</v>
      </c>
      <c r="G16" s="1103">
        <f t="shared" si="6"/>
        <v>576957740</v>
      </c>
      <c r="H16" s="1004">
        <f t="shared" si="6"/>
        <v>0</v>
      </c>
      <c r="I16" s="1004">
        <f t="shared" si="6"/>
        <v>0</v>
      </c>
      <c r="J16" s="1004">
        <f t="shared" si="6"/>
        <v>78362259</v>
      </c>
      <c r="K16" s="1018">
        <f>SUM(K10:K15)</f>
        <v>2073103918</v>
      </c>
    </row>
    <row r="17" spans="1:11" s="419" customFormat="1" ht="11.25" x14ac:dyDescent="0.2">
      <c r="A17" s="765"/>
      <c r="B17" s="765"/>
      <c r="C17" s="765"/>
      <c r="D17" s="766"/>
      <c r="E17" s="765"/>
      <c r="F17" s="765"/>
      <c r="G17" s="765"/>
      <c r="H17" s="765"/>
      <c r="I17" s="765"/>
      <c r="J17" s="765"/>
      <c r="K17" s="766"/>
    </row>
    <row r="18" spans="1:11" s="419" customFormat="1" ht="11.25" x14ac:dyDescent="0.2">
      <c r="A18" s="765"/>
      <c r="B18" s="765"/>
      <c r="C18" s="765"/>
      <c r="D18" s="766"/>
      <c r="E18" s="765"/>
      <c r="F18" s="765"/>
      <c r="G18" s="765"/>
      <c r="H18" s="765"/>
      <c r="I18" s="765"/>
      <c r="J18" s="765"/>
      <c r="K18" s="766"/>
    </row>
    <row r="19" spans="1:11" x14ac:dyDescent="0.2">
      <c r="B19" s="767"/>
      <c r="C19" s="767"/>
      <c r="D19" s="767"/>
    </row>
    <row r="20" spans="1:11" x14ac:dyDescent="0.2">
      <c r="C20" s="767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G38"/>
  <sheetViews>
    <sheetView workbookViewId="0">
      <selection activeCell="D13" sqref="D13"/>
    </sheetView>
  </sheetViews>
  <sheetFormatPr defaultColWidth="10.6640625" defaultRowHeight="12.75" x14ac:dyDescent="0.2"/>
  <cols>
    <col min="1" max="1" width="10" style="482" customWidth="1"/>
    <col min="2" max="2" width="37.33203125" style="482" customWidth="1"/>
    <col min="3" max="3" width="24.83203125" style="482" customWidth="1"/>
    <col min="4" max="4" width="22.6640625" style="482" customWidth="1"/>
    <col min="5" max="5" width="11.6640625" style="482" bestFit="1" customWidth="1"/>
    <col min="6" max="16384" width="10.6640625" style="482"/>
  </cols>
  <sheetData>
    <row r="1" spans="1:7" ht="15.75" x14ac:dyDescent="0.25">
      <c r="A1" s="1490" t="str">
        <f>CONCATENATE("11. melléklet"," ",ALAPADATOK!A7," ",ALAPADATOK!B7," ",ALAPADATOK!C7," ",ALAPADATOK!D7," ",ALAPADATOK!E7," ",ALAPADATOK!F7," ",ALAPADATOK!G7," ",ALAPADATOK!H7)</f>
        <v>11. melléklet a 2 / 2021. ( II.15. ) önkormányzati rendelethez</v>
      </c>
      <c r="B1" s="1490"/>
      <c r="C1" s="1490"/>
      <c r="D1" s="1490"/>
      <c r="E1" s="932"/>
      <c r="F1" s="932"/>
      <c r="G1" s="932"/>
    </row>
    <row r="2" spans="1:7" ht="15.75" x14ac:dyDescent="0.25">
      <c r="A2" s="310"/>
      <c r="B2" s="310"/>
      <c r="C2" s="310"/>
      <c r="D2" s="311"/>
    </row>
    <row r="3" spans="1:7" ht="15.75" x14ac:dyDescent="0.25">
      <c r="A3" s="310"/>
      <c r="B3" s="310"/>
      <c r="C3" s="310"/>
      <c r="D3" s="396"/>
    </row>
    <row r="4" spans="1:7" ht="15.75" x14ac:dyDescent="0.25">
      <c r="A4" s="310"/>
      <c r="B4" s="310"/>
      <c r="C4" s="310"/>
      <c r="D4" s="397"/>
    </row>
    <row r="5" spans="1:7" ht="15.75" x14ac:dyDescent="0.25">
      <c r="A5" s="310"/>
      <c r="B5" s="310"/>
      <c r="C5" s="310"/>
      <c r="D5" s="397"/>
    </row>
    <row r="6" spans="1:7" ht="15.75" x14ac:dyDescent="0.25">
      <c r="A6" s="310"/>
      <c r="B6" s="310"/>
      <c r="C6" s="310"/>
      <c r="D6" s="398"/>
    </row>
    <row r="7" spans="1:7" ht="19.5" x14ac:dyDescent="0.35">
      <c r="A7" s="312" t="s">
        <v>377</v>
      </c>
      <c r="B7" s="312"/>
      <c r="C7" s="312"/>
      <c r="D7" s="399"/>
    </row>
    <row r="8" spans="1:7" ht="19.5" x14ac:dyDescent="0.35">
      <c r="A8" s="312" t="s">
        <v>874</v>
      </c>
      <c r="B8" s="312"/>
      <c r="C8" s="312"/>
      <c r="D8" s="399"/>
    </row>
    <row r="9" spans="1:7" ht="19.5" x14ac:dyDescent="0.35">
      <c r="A9" s="312"/>
      <c r="B9" s="312"/>
      <c r="C9" s="312"/>
      <c r="D9" s="399"/>
    </row>
    <row r="10" spans="1:7" ht="19.5" x14ac:dyDescent="0.35">
      <c r="A10" s="312"/>
      <c r="B10" s="312"/>
      <c r="C10" s="312"/>
      <c r="D10" s="399"/>
    </row>
    <row r="11" spans="1:7" ht="19.5" x14ac:dyDescent="0.35">
      <c r="A11" s="312"/>
      <c r="B11" s="312"/>
      <c r="C11" s="312"/>
      <c r="D11" s="399"/>
    </row>
    <row r="12" spans="1:7" ht="16.5" thickBot="1" x14ac:dyDescent="0.3">
      <c r="A12" s="310"/>
      <c r="B12" s="310"/>
      <c r="C12" s="310"/>
      <c r="D12" s="400" t="s">
        <v>4</v>
      </c>
    </row>
    <row r="13" spans="1:7" s="483" customFormat="1" ht="33" customHeight="1" thickBot="1" x14ac:dyDescent="0.25">
      <c r="A13" s="313" t="s">
        <v>62</v>
      </c>
      <c r="B13" s="314"/>
      <c r="C13" s="315"/>
      <c r="D13" s="401" t="s">
        <v>55</v>
      </c>
    </row>
    <row r="14" spans="1:7" ht="16.5" thickBot="1" x14ac:dyDescent="0.3">
      <c r="A14" s="436" t="s">
        <v>59</v>
      </c>
      <c r="B14" s="437"/>
      <c r="C14" s="438"/>
      <c r="D14" s="439">
        <v>10000000</v>
      </c>
      <c r="E14" s="484"/>
      <c r="F14" s="485"/>
    </row>
    <row r="15" spans="1:7" ht="15.75" x14ac:dyDescent="0.25">
      <c r="A15" s="431" t="s">
        <v>379</v>
      </c>
      <c r="B15" s="440"/>
      <c r="C15" s="441"/>
      <c r="D15" s="442"/>
      <c r="E15" s="485"/>
      <c r="F15" s="485"/>
    </row>
    <row r="16" spans="1:7" x14ac:dyDescent="0.2">
      <c r="A16" s="673" t="s">
        <v>642</v>
      </c>
      <c r="B16" s="403"/>
      <c r="C16" s="432"/>
      <c r="D16" s="1034">
        <v>10000000</v>
      </c>
      <c r="E16" s="404"/>
      <c r="F16" s="402"/>
    </row>
    <row r="17" spans="1:6" x14ac:dyDescent="0.2">
      <c r="A17" s="673" t="s">
        <v>643</v>
      </c>
      <c r="B17" s="403"/>
      <c r="C17" s="432"/>
      <c r="D17" s="1034">
        <v>300000</v>
      </c>
      <c r="E17" s="404"/>
      <c r="F17" s="402"/>
    </row>
    <row r="18" spans="1:6" x14ac:dyDescent="0.2">
      <c r="A18" s="673" t="s">
        <v>644</v>
      </c>
      <c r="B18" s="403"/>
      <c r="C18" s="432"/>
      <c r="D18" s="1034">
        <v>1000000</v>
      </c>
      <c r="E18" s="404"/>
      <c r="F18" s="402"/>
    </row>
    <row r="19" spans="1:6" x14ac:dyDescent="0.2">
      <c r="A19" s="673" t="s">
        <v>983</v>
      </c>
      <c r="B19" s="403"/>
      <c r="C19" s="432"/>
      <c r="D19" s="1034">
        <v>756000</v>
      </c>
      <c r="E19" s="404"/>
      <c r="F19" s="402"/>
    </row>
    <row r="20" spans="1:6" x14ac:dyDescent="0.2">
      <c r="A20" s="934" t="s">
        <v>800</v>
      </c>
      <c r="B20" s="403"/>
      <c r="C20" s="432"/>
      <c r="D20" s="1034">
        <v>44914861</v>
      </c>
      <c r="E20" s="404"/>
      <c r="F20" s="402"/>
    </row>
    <row r="21" spans="1:6" x14ac:dyDescent="0.2">
      <c r="A21" s="1491" t="s">
        <v>989</v>
      </c>
      <c r="B21" s="1492"/>
      <c r="C21" s="1493"/>
      <c r="D21" s="1034">
        <v>7942716</v>
      </c>
      <c r="E21" s="404"/>
      <c r="F21" s="402"/>
    </row>
    <row r="22" spans="1:6" x14ac:dyDescent="0.2">
      <c r="A22" s="1491" t="s">
        <v>987</v>
      </c>
      <c r="B22" s="1492"/>
      <c r="C22" s="1493"/>
      <c r="D22" s="1034">
        <v>1620970</v>
      </c>
      <c r="E22" s="404"/>
      <c r="F22" s="402"/>
    </row>
    <row r="23" spans="1:6" x14ac:dyDescent="0.2">
      <c r="A23" s="1491" t="s">
        <v>988</v>
      </c>
      <c r="B23" s="1492"/>
      <c r="C23" s="1493"/>
      <c r="D23" s="1034">
        <v>628000</v>
      </c>
      <c r="E23" s="404"/>
      <c r="F23" s="402"/>
    </row>
    <row r="24" spans="1:6" x14ac:dyDescent="0.2">
      <c r="A24" s="1411" t="s">
        <v>982</v>
      </c>
      <c r="B24" s="1137"/>
      <c r="C24" s="1138"/>
      <c r="D24" s="1034">
        <v>650000</v>
      </c>
      <c r="E24" s="404"/>
      <c r="F24" s="402"/>
    </row>
    <row r="25" spans="1:6" x14ac:dyDescent="0.2">
      <c r="A25" s="420" t="s">
        <v>560</v>
      </c>
      <c r="B25" s="421"/>
      <c r="C25" s="432"/>
      <c r="D25" s="1034">
        <v>3712000</v>
      </c>
      <c r="E25" s="404"/>
      <c r="F25" s="402"/>
    </row>
    <row r="26" spans="1:6" x14ac:dyDescent="0.2">
      <c r="A26" s="1412" t="s">
        <v>984</v>
      </c>
      <c r="B26" s="1135"/>
      <c r="C26" s="1136"/>
      <c r="D26" s="479">
        <v>15494</v>
      </c>
      <c r="E26" s="404"/>
      <c r="F26" s="402"/>
    </row>
    <row r="27" spans="1:6" x14ac:dyDescent="0.2">
      <c r="A27" s="674" t="s">
        <v>805</v>
      </c>
      <c r="B27" s="477"/>
      <c r="C27" s="478"/>
      <c r="D27" s="479">
        <v>3589610</v>
      </c>
      <c r="E27" s="404"/>
      <c r="F27" s="402"/>
    </row>
    <row r="28" spans="1:6" x14ac:dyDescent="0.2">
      <c r="A28" s="674" t="s">
        <v>804</v>
      </c>
      <c r="B28" s="477"/>
      <c r="C28" s="478"/>
      <c r="D28" s="479">
        <v>10000000</v>
      </c>
      <c r="E28" s="404"/>
      <c r="F28" s="402"/>
    </row>
    <row r="29" spans="1:6" x14ac:dyDescent="0.2">
      <c r="A29" s="674" t="s">
        <v>803</v>
      </c>
      <c r="B29" s="477"/>
      <c r="C29" s="478"/>
      <c r="D29" s="479"/>
      <c r="E29" s="404"/>
      <c r="F29" s="402"/>
    </row>
    <row r="30" spans="1:6" x14ac:dyDescent="0.2">
      <c r="A30" s="674" t="s">
        <v>802</v>
      </c>
      <c r="B30" s="477"/>
      <c r="C30" s="478"/>
      <c r="D30" s="479">
        <v>6350000</v>
      </c>
      <c r="E30" s="404"/>
      <c r="F30" s="402"/>
    </row>
    <row r="31" spans="1:6" x14ac:dyDescent="0.2">
      <c r="A31" s="1411" t="s">
        <v>801</v>
      </c>
      <c r="B31" s="421"/>
      <c r="C31" s="432"/>
      <c r="D31" s="479">
        <v>6985000</v>
      </c>
      <c r="E31" s="404"/>
      <c r="F31" s="402"/>
    </row>
    <row r="32" spans="1:6" x14ac:dyDescent="0.2">
      <c r="A32" s="1413" t="s">
        <v>985</v>
      </c>
      <c r="B32" s="1296"/>
      <c r="C32" s="1291"/>
      <c r="D32" s="479">
        <v>444500</v>
      </c>
      <c r="E32" s="404"/>
      <c r="F32" s="402"/>
    </row>
    <row r="33" spans="1:6" x14ac:dyDescent="0.2">
      <c r="A33" s="674" t="s">
        <v>986</v>
      </c>
      <c r="B33" s="477"/>
      <c r="C33" s="478"/>
      <c r="D33" s="479">
        <f>406461+4715</f>
        <v>411176</v>
      </c>
      <c r="E33" s="404"/>
      <c r="F33" s="402"/>
    </row>
    <row r="34" spans="1:6" x14ac:dyDescent="0.2">
      <c r="A34" s="674" t="s">
        <v>1036</v>
      </c>
      <c r="B34" s="477"/>
      <c r="C34" s="478"/>
      <c r="D34" s="479">
        <v>7058824</v>
      </c>
      <c r="E34" s="404"/>
      <c r="F34" s="402"/>
    </row>
    <row r="35" spans="1:6" x14ac:dyDescent="0.2">
      <c r="A35" s="1133"/>
      <c r="B35" s="477"/>
      <c r="C35" s="478"/>
      <c r="D35" s="1010"/>
      <c r="E35" s="404"/>
      <c r="F35" s="402"/>
    </row>
    <row r="36" spans="1:6" ht="16.5" thickBot="1" x14ac:dyDescent="0.3">
      <c r="A36" s="433" t="s">
        <v>380</v>
      </c>
      <c r="B36" s="434"/>
      <c r="C36" s="435"/>
      <c r="D36" s="609">
        <f>SUM(D16:D35)</f>
        <v>106379151</v>
      </c>
    </row>
    <row r="37" spans="1:6" ht="16.5" thickBot="1" x14ac:dyDescent="0.3">
      <c r="A37" s="443"/>
      <c r="B37" s="444"/>
      <c r="C37" s="445"/>
      <c r="D37" s="445"/>
    </row>
    <row r="38" spans="1:6" ht="16.5" thickBot="1" x14ac:dyDescent="0.3">
      <c r="A38" s="436" t="s">
        <v>381</v>
      </c>
      <c r="B38" s="437"/>
      <c r="C38" s="438"/>
      <c r="D38" s="439">
        <f>SUM(D14,D36)</f>
        <v>116379151</v>
      </c>
    </row>
  </sheetData>
  <mergeCells count="4">
    <mergeCell ref="A1:D1"/>
    <mergeCell ref="A22:C22"/>
    <mergeCell ref="A23:C23"/>
    <mergeCell ref="A21:C2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zoomScale="130" zoomScaleNormal="130" zoomScaleSheetLayoutView="115" workbookViewId="0">
      <selection activeCell="C12" sqref="C12"/>
    </sheetView>
  </sheetViews>
  <sheetFormatPr defaultRowHeight="15.75" x14ac:dyDescent="0.25"/>
  <cols>
    <col min="1" max="1" width="9" style="910" customWidth="1"/>
    <col min="2" max="2" width="67.1640625" style="910" bestFit="1" customWidth="1"/>
    <col min="3" max="3" width="16.5" style="925" customWidth="1"/>
    <col min="4" max="4" width="15.5" style="925" customWidth="1"/>
    <col min="5" max="7" width="15.5" style="925" hidden="1" customWidth="1"/>
    <col min="8" max="8" width="15.5" style="925" customWidth="1"/>
    <col min="9" max="9" width="14.33203125" style="909" hidden="1" customWidth="1"/>
    <col min="10" max="10" width="12.6640625" style="909" hidden="1" customWidth="1"/>
    <col min="11" max="11" width="14.33203125" style="909" hidden="1" customWidth="1"/>
    <col min="12" max="16384" width="9.33203125" style="909"/>
  </cols>
  <sheetData>
    <row r="1" spans="1:11" x14ac:dyDescent="0.25">
      <c r="A1" s="1494" t="str">
        <f>CONCATENATE("1. tájékoztató tábla"," ",ALAPADATOK!A7," ",ALAPADATOK!B7," ",ALAPADATOK!C7," ",ALAPADATOK!D7," ",ALAPADATOK!E7," ",ALAPADATOK!F7," ",ALAPADATOK!G7," ",ALAPADATOK!H7)</f>
        <v>1. tájékoztató tábla a 2 / 2021. ( II.15. ) önkormányzati rendelethez</v>
      </c>
      <c r="B1" s="1494"/>
      <c r="C1" s="1494"/>
      <c r="D1" s="1494"/>
      <c r="E1" s="1494"/>
      <c r="F1" s="1494"/>
      <c r="G1" s="1494"/>
      <c r="H1" s="1494"/>
    </row>
    <row r="2" spans="1:11" x14ac:dyDescent="0.25">
      <c r="H2" s="1123" t="s">
        <v>836</v>
      </c>
    </row>
    <row r="3" spans="1:11" ht="35.25" customHeight="1" x14ac:dyDescent="0.25">
      <c r="A3" s="1495" t="s">
        <v>875</v>
      </c>
      <c r="B3" s="1496"/>
      <c r="C3" s="1496"/>
      <c r="D3" s="1496"/>
      <c r="E3" s="1496"/>
      <c r="F3" s="1496"/>
      <c r="G3" s="1496"/>
      <c r="H3" s="1496"/>
    </row>
    <row r="5" spans="1:11" ht="15.95" customHeight="1" x14ac:dyDescent="0.25">
      <c r="A5" s="1423" t="s">
        <v>16</v>
      </c>
      <c r="B5" s="1423"/>
      <c r="C5" s="1423"/>
      <c r="D5" s="1423"/>
      <c r="E5" s="1423"/>
      <c r="F5" s="1423"/>
      <c r="G5" s="1423"/>
      <c r="H5" s="1423"/>
    </row>
    <row r="6" spans="1:11" ht="15.95" customHeight="1" thickBot="1" x14ac:dyDescent="0.3">
      <c r="A6" s="1422" t="s">
        <v>126</v>
      </c>
      <c r="B6" s="1422"/>
      <c r="C6" s="611"/>
      <c r="D6" s="611"/>
      <c r="E6" s="612"/>
      <c r="F6" s="612"/>
      <c r="G6" s="612"/>
      <c r="H6" s="613" t="s">
        <v>548</v>
      </c>
    </row>
    <row r="7" spans="1:11" ht="38.1" customHeight="1" thickBot="1" x14ac:dyDescent="0.3">
      <c r="A7" s="20" t="s">
        <v>70</v>
      </c>
      <c r="B7" s="21" t="s">
        <v>18</v>
      </c>
      <c r="C7" s="1272" t="s">
        <v>990</v>
      </c>
      <c r="D7" s="1272" t="s">
        <v>991</v>
      </c>
      <c r="E7" s="1284"/>
      <c r="F7" s="1284"/>
      <c r="G7" s="1284"/>
      <c r="H7" s="1286" t="s">
        <v>851</v>
      </c>
    </row>
    <row r="8" spans="1:11" s="275" customFormat="1" ht="12" customHeight="1" thickBot="1" x14ac:dyDescent="0.25">
      <c r="A8" s="25" t="s">
        <v>434</v>
      </c>
      <c r="B8" s="300" t="s">
        <v>435</v>
      </c>
      <c r="C8" s="634" t="s">
        <v>436</v>
      </c>
      <c r="D8" s="1310" t="s">
        <v>486</v>
      </c>
      <c r="E8" s="614"/>
      <c r="F8" s="614"/>
      <c r="G8" s="614"/>
      <c r="H8" s="615" t="s">
        <v>487</v>
      </c>
    </row>
    <row r="9" spans="1:11" s="277" customFormat="1" ht="12" customHeight="1" thickBot="1" x14ac:dyDescent="0.25">
      <c r="A9" s="17" t="s">
        <v>19</v>
      </c>
      <c r="B9" s="446" t="s">
        <v>192</v>
      </c>
      <c r="C9" s="634">
        <f>SUM(C10:C17)</f>
        <v>1324135065</v>
      </c>
      <c r="D9" s="1310">
        <f>SUM(D10:D17)-D12</f>
        <v>1383953547</v>
      </c>
      <c r="E9" s="617">
        <f>+E10+E11+E12+E15+E16+E17</f>
        <v>1133144785</v>
      </c>
      <c r="F9" s="616">
        <f>+F10+F11+F12+F15+F16+F17</f>
        <v>0</v>
      </c>
      <c r="G9" s="616">
        <f>+G10+G11+G12+G15+G16+G17</f>
        <v>0</v>
      </c>
      <c r="H9" s="116">
        <f>'1.1.sz.mell. '!C11</f>
        <v>1586722929</v>
      </c>
      <c r="I9" s="276">
        <f>+I10+I11+I12+I15+I16+I17</f>
        <v>1460810310</v>
      </c>
      <c r="J9" s="116">
        <f>+J10+J11+J12+J15+J16+J17</f>
        <v>0</v>
      </c>
      <c r="K9" s="116">
        <f>+K10+K11+K12+K15+K16+K17</f>
        <v>0</v>
      </c>
    </row>
    <row r="10" spans="1:11" s="277" customFormat="1" ht="12" customHeight="1" x14ac:dyDescent="0.2">
      <c r="A10" s="12" t="s">
        <v>97</v>
      </c>
      <c r="B10" s="290" t="s">
        <v>193</v>
      </c>
      <c r="C10" s="1321">
        <v>218098142</v>
      </c>
      <c r="D10" s="1311">
        <v>256986904</v>
      </c>
      <c r="E10" s="618">
        <v>227512539</v>
      </c>
      <c r="F10" s="619"/>
      <c r="G10" s="619"/>
      <c r="H10" s="467">
        <f>'1.1.sz.mell. '!C12</f>
        <v>295696597</v>
      </c>
      <c r="I10" s="230">
        <v>211161846</v>
      </c>
      <c r="J10" s="230"/>
      <c r="K10" s="230"/>
    </row>
    <row r="11" spans="1:11" s="277" customFormat="1" ht="12" customHeight="1" x14ac:dyDescent="0.2">
      <c r="A11" s="11" t="s">
        <v>98</v>
      </c>
      <c r="B11" s="291" t="s">
        <v>194</v>
      </c>
      <c r="C11" s="1322">
        <v>238466411</v>
      </c>
      <c r="D11" s="1312">
        <v>250568625</v>
      </c>
      <c r="E11" s="620">
        <v>218107294</v>
      </c>
      <c r="F11" s="621"/>
      <c r="G11" s="621"/>
      <c r="H11" s="299">
        <f>'1.1.sz.mell. '!C13</f>
        <v>254023920</v>
      </c>
      <c r="I11" s="1029">
        <v>235351616</v>
      </c>
      <c r="J11" s="1029"/>
      <c r="K11" s="1029"/>
    </row>
    <row r="12" spans="1:11" s="277" customFormat="1" ht="12" customHeight="1" x14ac:dyDescent="0.2">
      <c r="A12" s="11" t="s">
        <v>99</v>
      </c>
      <c r="B12" s="291" t="s">
        <v>195</v>
      </c>
      <c r="C12" s="1322">
        <v>784493453</v>
      </c>
      <c r="D12" s="1312">
        <f>SUM(D13:D14)</f>
        <v>793973650</v>
      </c>
      <c r="E12" s="620">
        <f>121200000+67844165+118423160+15562200+177597260+4526280+11511000+24250000+62625967</f>
        <v>603540032</v>
      </c>
      <c r="F12" s="621"/>
      <c r="G12" s="621"/>
      <c r="H12" s="299">
        <f>'1.1.sz.mell. '!C14</f>
        <v>761734873</v>
      </c>
      <c r="I12" s="1029">
        <f>132342947+82528441+152850000+191583306+50232560+61299400+1796961+73694436</f>
        <v>746328051</v>
      </c>
      <c r="J12" s="1029"/>
      <c r="K12" s="1029"/>
    </row>
    <row r="13" spans="1:11" s="277" customFormat="1" ht="24" customHeight="1" x14ac:dyDescent="0.2">
      <c r="A13" s="11" t="s">
        <v>818</v>
      </c>
      <c r="B13" s="291" t="s">
        <v>821</v>
      </c>
      <c r="C13" s="1322">
        <v>0</v>
      </c>
      <c r="D13" s="1312">
        <v>616722342</v>
      </c>
      <c r="E13" s="620"/>
      <c r="F13" s="621"/>
      <c r="G13" s="621"/>
      <c r="H13" s="299">
        <f>'1.1.sz.mell. '!C15</f>
        <v>635476079</v>
      </c>
      <c r="I13" s="1029"/>
      <c r="J13" s="1029"/>
      <c r="K13" s="1029"/>
    </row>
    <row r="14" spans="1:11" s="277" customFormat="1" ht="12" customHeight="1" x14ac:dyDescent="0.2">
      <c r="A14" s="11" t="s">
        <v>819</v>
      </c>
      <c r="B14" s="291" t="s">
        <v>822</v>
      </c>
      <c r="C14" s="1322">
        <v>0</v>
      </c>
      <c r="D14" s="1312">
        <v>177251308</v>
      </c>
      <c r="E14" s="620"/>
      <c r="F14" s="621"/>
      <c r="G14" s="621"/>
      <c r="H14" s="299">
        <f>'1.1.sz.mell. '!C16</f>
        <v>126258794</v>
      </c>
      <c r="I14" s="1029"/>
      <c r="J14" s="1029"/>
      <c r="K14" s="1029"/>
    </row>
    <row r="15" spans="1:11" s="277" customFormat="1" ht="12" customHeight="1" x14ac:dyDescent="0.2">
      <c r="A15" s="11" t="s">
        <v>100</v>
      </c>
      <c r="B15" s="291" t="s">
        <v>196</v>
      </c>
      <c r="C15" s="1322">
        <v>34753573</v>
      </c>
      <c r="D15" s="1312">
        <v>38970172</v>
      </c>
      <c r="E15" s="620">
        <f>4412740+15262320+10629000</f>
        <v>30304060</v>
      </c>
      <c r="F15" s="621"/>
      <c r="G15" s="621"/>
      <c r="H15" s="299">
        <f>'1.1.sz.mell. '!C17</f>
        <v>40888120</v>
      </c>
      <c r="I15" s="1029">
        <f>4617241+15998620+12622000</f>
        <v>33237861</v>
      </c>
      <c r="J15" s="1029"/>
      <c r="K15" s="1029"/>
    </row>
    <row r="16" spans="1:11" s="277" customFormat="1" ht="12" customHeight="1" x14ac:dyDescent="0.2">
      <c r="A16" s="11" t="s">
        <v>123</v>
      </c>
      <c r="B16" s="447" t="s">
        <v>437</v>
      </c>
      <c r="C16" s="1322">
        <v>48323486</v>
      </c>
      <c r="D16" s="1312">
        <v>43054095</v>
      </c>
      <c r="E16" s="620">
        <f>3551000+1060845+168707597+58000+128000-119824582</f>
        <v>53680860</v>
      </c>
      <c r="F16" s="621"/>
      <c r="G16" s="621"/>
      <c r="H16" s="299">
        <f>'1.1.sz.mell. '!C18</f>
        <v>234379419</v>
      </c>
      <c r="I16" s="1029">
        <f>29417493+205313443</f>
        <v>234730936</v>
      </c>
      <c r="J16" s="1029"/>
      <c r="K16" s="1029"/>
    </row>
    <row r="17" spans="1:11" s="277" customFormat="1" ht="12" customHeight="1" thickBot="1" x14ac:dyDescent="0.25">
      <c r="A17" s="13" t="s">
        <v>101</v>
      </c>
      <c r="B17" s="448" t="s">
        <v>438</v>
      </c>
      <c r="C17" s="1323"/>
      <c r="D17" s="1313">
        <v>400101</v>
      </c>
      <c r="E17" s="622"/>
      <c r="F17" s="623"/>
      <c r="G17" s="623"/>
      <c r="H17" s="468">
        <f>'1.1.sz.mell. '!C19</f>
        <v>0</v>
      </c>
      <c r="I17" s="105"/>
      <c r="J17" s="117"/>
      <c r="K17" s="117"/>
    </row>
    <row r="18" spans="1:11" s="277" customFormat="1" ht="12" customHeight="1" thickBot="1" x14ac:dyDescent="0.25">
      <c r="A18" s="17" t="s">
        <v>20</v>
      </c>
      <c r="B18" s="449" t="s">
        <v>197</v>
      </c>
      <c r="C18" s="1098">
        <f>SUM(C19:C23)</f>
        <v>185927249</v>
      </c>
      <c r="D18" s="1314">
        <f>SUM(D19:D23)</f>
        <v>218745160</v>
      </c>
      <c r="E18" s="617">
        <f>+E19+E20+E21+E22+E23</f>
        <v>-145452435</v>
      </c>
      <c r="F18" s="616">
        <f>+F19+F20+F21+F22+F23</f>
        <v>0</v>
      </c>
      <c r="G18" s="616">
        <f>+G19+G20+G21+G22+G23</f>
        <v>5485000</v>
      </c>
      <c r="H18" s="116">
        <f>'1.1.sz.mell. '!C20</f>
        <v>355607178</v>
      </c>
      <c r="I18" s="276">
        <f>+I19+I20+I21+I22+I23</f>
        <v>203725813</v>
      </c>
      <c r="J18" s="116">
        <f>+J19+J20+J21+J22+J23</f>
        <v>0</v>
      </c>
      <c r="K18" s="116">
        <f>+K19+K20+K21+K22+K23</f>
        <v>22754943</v>
      </c>
    </row>
    <row r="19" spans="1:11" s="277" customFormat="1" ht="12" customHeight="1" x14ac:dyDescent="0.2">
      <c r="A19" s="12" t="s">
        <v>103</v>
      </c>
      <c r="B19" s="290" t="s">
        <v>198</v>
      </c>
      <c r="C19" s="1321"/>
      <c r="D19" s="1311"/>
      <c r="E19" s="624"/>
      <c r="F19" s="625"/>
      <c r="G19" s="625"/>
      <c r="H19" s="467">
        <f>'1.1.sz.mell. '!C21</f>
        <v>0</v>
      </c>
      <c r="I19" s="278"/>
      <c r="J19" s="118"/>
      <c r="K19" s="118"/>
    </row>
    <row r="20" spans="1:11" s="277" customFormat="1" ht="12" customHeight="1" x14ac:dyDescent="0.2">
      <c r="A20" s="11" t="s">
        <v>104</v>
      </c>
      <c r="B20" s="291" t="s">
        <v>199</v>
      </c>
      <c r="C20" s="1322"/>
      <c r="D20" s="1312"/>
      <c r="E20" s="622"/>
      <c r="F20" s="623"/>
      <c r="G20" s="623"/>
      <c r="H20" s="299">
        <f>'1.1.sz.mell. '!C22</f>
        <v>0</v>
      </c>
      <c r="I20" s="105"/>
      <c r="J20" s="117"/>
      <c r="K20" s="117"/>
    </row>
    <row r="21" spans="1:11" s="277" customFormat="1" ht="12" customHeight="1" x14ac:dyDescent="0.2">
      <c r="A21" s="11" t="s">
        <v>105</v>
      </c>
      <c r="B21" s="291" t="s">
        <v>367</v>
      </c>
      <c r="C21" s="1322"/>
      <c r="D21" s="1312"/>
      <c r="E21" s="622"/>
      <c r="F21" s="623"/>
      <c r="G21" s="623"/>
      <c r="H21" s="299">
        <f>'1.1.sz.mell. '!C23</f>
        <v>0</v>
      </c>
      <c r="I21" s="105"/>
      <c r="J21" s="117"/>
      <c r="K21" s="117"/>
    </row>
    <row r="22" spans="1:11" s="277" customFormat="1" ht="12" customHeight="1" x14ac:dyDescent="0.2">
      <c r="A22" s="11" t="s">
        <v>106</v>
      </c>
      <c r="B22" s="291" t="s">
        <v>368</v>
      </c>
      <c r="C22" s="1322"/>
      <c r="D22" s="1312"/>
      <c r="E22" s="622"/>
      <c r="F22" s="623"/>
      <c r="G22" s="623"/>
      <c r="H22" s="299">
        <f>'1.1.sz.mell. '!C24</f>
        <v>0</v>
      </c>
      <c r="I22" s="105"/>
      <c r="J22" s="117"/>
      <c r="K22" s="117"/>
    </row>
    <row r="23" spans="1:11" s="277" customFormat="1" ht="12" customHeight="1" x14ac:dyDescent="0.2">
      <c r="A23" s="11" t="s">
        <v>107</v>
      </c>
      <c r="B23" s="291" t="s">
        <v>200</v>
      </c>
      <c r="C23" s="1322">
        <v>185927249</v>
      </c>
      <c r="D23" s="1312">
        <v>218745160</v>
      </c>
      <c r="E23" s="620">
        <f>2285000+210000+110446000+65342000-323735435</f>
        <v>-145452435</v>
      </c>
      <c r="F23" s="621"/>
      <c r="G23" s="621">
        <v>5485000</v>
      </c>
      <c r="H23" s="299">
        <f>'1.1.sz.mell. '!C25</f>
        <v>355607178</v>
      </c>
      <c r="I23" s="1030">
        <f>102792540+24250000+3975280+5670000+67037993</f>
        <v>203725813</v>
      </c>
      <c r="J23" s="1029"/>
      <c r="K23" s="1029">
        <v>22754943</v>
      </c>
    </row>
    <row r="24" spans="1:11" s="277" customFormat="1" ht="12" customHeight="1" thickBot="1" x14ac:dyDescent="0.25">
      <c r="A24" s="13" t="s">
        <v>116</v>
      </c>
      <c r="B24" s="448" t="s">
        <v>201</v>
      </c>
      <c r="C24" s="1323">
        <f>44046085</f>
        <v>44046085</v>
      </c>
      <c r="D24" s="1313">
        <v>80120703</v>
      </c>
      <c r="E24" s="626"/>
      <c r="F24" s="627"/>
      <c r="G24" s="627"/>
      <c r="H24" s="468">
        <f>'1.1.sz.mell. '!C26</f>
        <v>131495850</v>
      </c>
      <c r="I24" s="1031">
        <f>67037993</f>
        <v>67037993</v>
      </c>
      <c r="J24" s="181"/>
      <c r="K24" s="181">
        <v>754943</v>
      </c>
    </row>
    <row r="25" spans="1:11" s="277" customFormat="1" ht="12" customHeight="1" thickBot="1" x14ac:dyDescent="0.25">
      <c r="A25" s="17" t="s">
        <v>21</v>
      </c>
      <c r="B25" s="446" t="s">
        <v>202</v>
      </c>
      <c r="C25" s="1098">
        <f>SUM(C26:C30)</f>
        <v>1026676989</v>
      </c>
      <c r="D25" s="1314">
        <f>SUM(D26:D30)</f>
        <v>283396180</v>
      </c>
      <c r="E25" s="617">
        <f>+E26+E27+E28+E29+E30</f>
        <v>-11381976</v>
      </c>
      <c r="F25" s="616">
        <f>+F26+F27+F28+F29+F30</f>
        <v>0</v>
      </c>
      <c r="G25" s="616">
        <f>+G26+G27+G28+G29+G30</f>
        <v>0</v>
      </c>
      <c r="H25" s="116">
        <f>'1.1.sz.mell. '!C27</f>
        <v>189408354</v>
      </c>
      <c r="I25" s="276">
        <f>+I26+I27+I28+I29+I30</f>
        <v>82409566</v>
      </c>
      <c r="J25" s="116">
        <f>+J26+J27+J28+J29+J30</f>
        <v>0</v>
      </c>
      <c r="K25" s="116">
        <f>+K26+K27+K28+K29+K30</f>
        <v>0</v>
      </c>
    </row>
    <row r="26" spans="1:11" s="277" customFormat="1" ht="12" customHeight="1" x14ac:dyDescent="0.2">
      <c r="A26" s="12" t="s">
        <v>86</v>
      </c>
      <c r="B26" s="290" t="s">
        <v>203</v>
      </c>
      <c r="C26" s="1321">
        <v>370138900</v>
      </c>
      <c r="D26" s="1311">
        <v>34619116</v>
      </c>
      <c r="E26" s="628"/>
      <c r="F26" s="629"/>
      <c r="G26" s="629"/>
      <c r="H26" s="467">
        <f>'1.1.sz.mell. '!C28</f>
        <v>0</v>
      </c>
      <c r="I26" s="1032"/>
      <c r="J26" s="577"/>
      <c r="K26" s="577"/>
    </row>
    <row r="27" spans="1:11" s="277" customFormat="1" ht="12" customHeight="1" x14ac:dyDescent="0.2">
      <c r="A27" s="11" t="s">
        <v>87</v>
      </c>
      <c r="B27" s="291" t="s">
        <v>204</v>
      </c>
      <c r="C27" s="1324"/>
      <c r="D27" s="1315"/>
      <c r="E27" s="620"/>
      <c r="F27" s="621"/>
      <c r="G27" s="621"/>
      <c r="H27" s="470">
        <f>'1.1.sz.mell. '!C29</f>
        <v>0</v>
      </c>
      <c r="I27" s="1030"/>
      <c r="J27" s="1029"/>
      <c r="K27" s="1029"/>
    </row>
    <row r="28" spans="1:11" s="277" customFormat="1" ht="12" customHeight="1" x14ac:dyDescent="0.2">
      <c r="A28" s="11" t="s">
        <v>88</v>
      </c>
      <c r="B28" s="291" t="s">
        <v>369</v>
      </c>
      <c r="C28" s="1322"/>
      <c r="D28" s="1312"/>
      <c r="E28" s="620"/>
      <c r="F28" s="621"/>
      <c r="G28" s="621"/>
      <c r="H28" s="299">
        <f>'1.1.sz.mell. '!C30</f>
        <v>0</v>
      </c>
      <c r="I28" s="1030"/>
      <c r="J28" s="1029"/>
      <c r="K28" s="1029"/>
    </row>
    <row r="29" spans="1:11" s="277" customFormat="1" ht="12" customHeight="1" x14ac:dyDescent="0.2">
      <c r="A29" s="11" t="s">
        <v>89</v>
      </c>
      <c r="B29" s="291" t="s">
        <v>370</v>
      </c>
      <c r="C29" s="1322"/>
      <c r="D29" s="1312"/>
      <c r="E29" s="620"/>
      <c r="F29" s="621"/>
      <c r="G29" s="621"/>
      <c r="H29" s="299">
        <f>'1.1.sz.mell. '!C31</f>
        <v>0</v>
      </c>
      <c r="I29" s="1030"/>
      <c r="J29" s="1029"/>
      <c r="K29" s="1029"/>
    </row>
    <row r="30" spans="1:11" s="277" customFormat="1" ht="12" customHeight="1" x14ac:dyDescent="0.2">
      <c r="A30" s="11" t="s">
        <v>134</v>
      </c>
      <c r="B30" s="291" t="s">
        <v>205</v>
      </c>
      <c r="C30" s="1322">
        <v>656538089</v>
      </c>
      <c r="D30" s="1312">
        <v>248777064</v>
      </c>
      <c r="E30" s="620">
        <f>3797300-15179276</f>
        <v>-11381976</v>
      </c>
      <c r="F30" s="621"/>
      <c r="G30" s="621"/>
      <c r="H30" s="299">
        <f>'1.1.sz.mell. '!C32</f>
        <v>189408354</v>
      </c>
      <c r="I30" s="1030">
        <f>5596040+25377271+3487179+47949076</f>
        <v>82409566</v>
      </c>
      <c r="J30" s="1029"/>
      <c r="K30" s="1029"/>
    </row>
    <row r="31" spans="1:11" s="277" customFormat="1" ht="12" customHeight="1" thickBot="1" x14ac:dyDescent="0.25">
      <c r="A31" s="13" t="s">
        <v>135</v>
      </c>
      <c r="B31" s="292" t="s">
        <v>206</v>
      </c>
      <c r="C31" s="1323">
        <v>647953089</v>
      </c>
      <c r="D31" s="1313">
        <v>239136377</v>
      </c>
      <c r="E31" s="626">
        <v>3797300</v>
      </c>
      <c r="F31" s="627"/>
      <c r="G31" s="627"/>
      <c r="H31" s="468">
        <f>'1.1.sz.mell. '!C33</f>
        <v>80423773</v>
      </c>
      <c r="I31" s="1031">
        <f>5596040+25377271+3487179+47949076</f>
        <v>82409566</v>
      </c>
      <c r="J31" s="181"/>
      <c r="K31" s="181"/>
    </row>
    <row r="32" spans="1:11" s="277" customFormat="1" ht="12" customHeight="1" thickBot="1" x14ac:dyDescent="0.25">
      <c r="A32" s="17" t="s">
        <v>136</v>
      </c>
      <c r="B32" s="446" t="s">
        <v>207</v>
      </c>
      <c r="C32" s="1098">
        <f>C33+C36+C37+C38+C39</f>
        <v>470233739</v>
      </c>
      <c r="D32" s="1314">
        <f>D33+D36+D37+D38+D39</f>
        <v>318511494</v>
      </c>
      <c r="E32" s="630">
        <f>+E33+E37+E38+E39</f>
        <v>329390000</v>
      </c>
      <c r="F32" s="631">
        <f>+F33+F37+F38+F39</f>
        <v>0</v>
      </c>
      <c r="G32" s="631">
        <f>+G33+G37+G38+G39</f>
        <v>0</v>
      </c>
      <c r="H32" s="116">
        <f>'1.1.sz.mell. '!C34</f>
        <v>398600000</v>
      </c>
      <c r="I32" s="279">
        <f>+I33+I37+I38+I39</f>
        <v>481500000</v>
      </c>
      <c r="J32" s="121">
        <f>+J33+J37+J38+J39</f>
        <v>0</v>
      </c>
      <c r="K32" s="121">
        <f>+K33+K37+K38+K39</f>
        <v>0</v>
      </c>
    </row>
    <row r="33" spans="1:11" s="277" customFormat="1" ht="12" customHeight="1" x14ac:dyDescent="0.2">
      <c r="A33" s="12" t="s">
        <v>208</v>
      </c>
      <c r="B33" s="290" t="s">
        <v>626</v>
      </c>
      <c r="C33" s="1097">
        <f>SUM(C34:C35)</f>
        <v>424778074</v>
      </c>
      <c r="D33" s="1316">
        <f>SUM(D34:D35)</f>
        <v>306301683</v>
      </c>
      <c r="E33" s="632">
        <f>SUM(E34:E36)</f>
        <v>292830000</v>
      </c>
      <c r="F33" s="633"/>
      <c r="G33" s="633"/>
      <c r="H33" s="467">
        <f>'1.1.sz.mell. '!C35</f>
        <v>385080000</v>
      </c>
      <c r="I33" s="293">
        <f>SUM(I34:I35)</f>
        <v>430000000</v>
      </c>
      <c r="J33" s="293">
        <f>SUM(J34:J35)</f>
        <v>0</v>
      </c>
      <c r="K33" s="293">
        <f>SUM(K34:K35)</f>
        <v>0</v>
      </c>
    </row>
    <row r="34" spans="1:11" s="277" customFormat="1" ht="12" customHeight="1" x14ac:dyDescent="0.2">
      <c r="A34" s="11" t="s">
        <v>209</v>
      </c>
      <c r="B34" s="291" t="s">
        <v>214</v>
      </c>
      <c r="C34" s="1322">
        <v>81767339</v>
      </c>
      <c r="D34" s="1312">
        <v>83640757</v>
      </c>
      <c r="E34" s="622">
        <f>8990000+70000000</f>
        <v>78990000</v>
      </c>
      <c r="F34" s="623"/>
      <c r="G34" s="623"/>
      <c r="H34" s="299">
        <f>'1.1.sz.mell. '!C36</f>
        <v>88280000</v>
      </c>
      <c r="I34" s="105">
        <f>80000000+9000000</f>
        <v>89000000</v>
      </c>
      <c r="J34" s="117"/>
      <c r="K34" s="117"/>
    </row>
    <row r="35" spans="1:11" s="277" customFormat="1" ht="12" customHeight="1" x14ac:dyDescent="0.2">
      <c r="A35" s="11" t="s">
        <v>210</v>
      </c>
      <c r="B35" s="648" t="s">
        <v>625</v>
      </c>
      <c r="C35" s="1322">
        <v>343010735</v>
      </c>
      <c r="D35" s="1312">
        <v>222660926</v>
      </c>
      <c r="E35" s="622">
        <f>203840000+10000000</f>
        <v>213840000</v>
      </c>
      <c r="F35" s="623"/>
      <c r="G35" s="623"/>
      <c r="H35" s="298">
        <f>'1.1.sz.mell. '!C37</f>
        <v>296800000</v>
      </c>
      <c r="I35" s="105">
        <f>341000000</f>
        <v>341000000</v>
      </c>
      <c r="J35" s="117"/>
      <c r="K35" s="117"/>
    </row>
    <row r="36" spans="1:11" s="277" customFormat="1" ht="12" customHeight="1" x14ac:dyDescent="0.2">
      <c r="A36" s="11" t="s">
        <v>211</v>
      </c>
      <c r="B36" s="291" t="s">
        <v>523</v>
      </c>
      <c r="C36" s="1322">
        <v>39072</v>
      </c>
      <c r="D36" s="1312">
        <v>914</v>
      </c>
      <c r="E36" s="620"/>
      <c r="F36" s="621"/>
      <c r="G36" s="621"/>
      <c r="H36" s="298">
        <f>'1.1.sz.mell. '!C38</f>
        <v>0</v>
      </c>
      <c r="I36" s="1030"/>
      <c r="J36" s="1029"/>
      <c r="K36" s="1029"/>
    </row>
    <row r="37" spans="1:11" s="277" customFormat="1" ht="12" customHeight="1" x14ac:dyDescent="0.2">
      <c r="A37" s="11" t="s">
        <v>524</v>
      </c>
      <c r="B37" s="291" t="s">
        <v>215</v>
      </c>
      <c r="C37" s="1322">
        <v>31727403</v>
      </c>
      <c r="D37" s="1312">
        <v>0</v>
      </c>
      <c r="E37" s="622">
        <f>27000000</f>
        <v>27000000</v>
      </c>
      <c r="F37" s="623"/>
      <c r="G37" s="623"/>
      <c r="H37" s="298">
        <v>0</v>
      </c>
      <c r="I37" s="105">
        <f>35000000</f>
        <v>35000000</v>
      </c>
      <c r="J37" s="117"/>
      <c r="K37" s="117"/>
    </row>
    <row r="38" spans="1:11" s="277" customFormat="1" ht="12" customHeight="1" x14ac:dyDescent="0.2">
      <c r="A38" s="11" t="s">
        <v>213</v>
      </c>
      <c r="B38" s="291" t="s">
        <v>216</v>
      </c>
      <c r="C38" s="1322">
        <v>158400</v>
      </c>
      <c r="D38" s="1312">
        <v>194100</v>
      </c>
      <c r="E38" s="622">
        <v>4060000</v>
      </c>
      <c r="F38" s="623"/>
      <c r="G38" s="623"/>
      <c r="H38" s="298">
        <f>'1.1.sz.mell. '!C39</f>
        <v>0</v>
      </c>
      <c r="I38" s="105"/>
      <c r="J38" s="117"/>
      <c r="K38" s="117"/>
    </row>
    <row r="39" spans="1:11" s="277" customFormat="1" ht="12" customHeight="1" thickBot="1" x14ac:dyDescent="0.25">
      <c r="A39" s="13" t="s">
        <v>525</v>
      </c>
      <c r="B39" s="292" t="s">
        <v>217</v>
      </c>
      <c r="C39" s="1323">
        <v>13530790</v>
      </c>
      <c r="D39" s="1313">
        <v>12014797</v>
      </c>
      <c r="E39" s="626">
        <v>5500000</v>
      </c>
      <c r="F39" s="627"/>
      <c r="G39" s="627"/>
      <c r="H39" s="468">
        <f>'1.1.sz.mell. '!C40</f>
        <v>13520000</v>
      </c>
      <c r="I39" s="1031">
        <f>6000000+4000000+2500000+500000+3500000</f>
        <v>16500000</v>
      </c>
      <c r="J39" s="181"/>
      <c r="K39" s="181"/>
    </row>
    <row r="40" spans="1:11" s="277" customFormat="1" ht="12" customHeight="1" thickBot="1" x14ac:dyDescent="0.25">
      <c r="A40" s="17" t="s">
        <v>23</v>
      </c>
      <c r="B40" s="446" t="s">
        <v>439</v>
      </c>
      <c r="C40" s="1098">
        <f>SUM(C41:C51)</f>
        <v>314593205</v>
      </c>
      <c r="D40" s="1314">
        <f>SUM(D41:D51)</f>
        <v>334062033</v>
      </c>
      <c r="E40" s="617">
        <f>SUM(E41:E51)</f>
        <v>54395907</v>
      </c>
      <c r="F40" s="616">
        <f>SUM(F41:F51)</f>
        <v>9416500</v>
      </c>
      <c r="G40" s="616">
        <f>SUM(G41:G51)</f>
        <v>385266178</v>
      </c>
      <c r="H40" s="116">
        <f>'1.1.sz.mell. '!C41</f>
        <v>364458308</v>
      </c>
      <c r="I40" s="276">
        <f>SUM(I41:I51)</f>
        <v>64295778</v>
      </c>
      <c r="J40" s="116">
        <f>SUM(J41:J51)</f>
        <v>8150828</v>
      </c>
      <c r="K40" s="116">
        <f>SUM(K41:K51)</f>
        <v>266151972</v>
      </c>
    </row>
    <row r="41" spans="1:11" s="277" customFormat="1" ht="12" customHeight="1" x14ac:dyDescent="0.2">
      <c r="A41" s="12" t="s">
        <v>90</v>
      </c>
      <c r="B41" s="290" t="s">
        <v>220</v>
      </c>
      <c r="C41" s="1321">
        <v>8179095</v>
      </c>
      <c r="D41" s="1311">
        <v>8209247</v>
      </c>
      <c r="E41" s="618">
        <f>3937000+4000000+5000000-2941522</f>
        <v>9995478</v>
      </c>
      <c r="F41" s="619"/>
      <c r="G41" s="619">
        <v>150000</v>
      </c>
      <c r="H41" s="467">
        <f>'1.1.sz.mell. '!C42</f>
        <v>0</v>
      </c>
      <c r="I41" s="1032">
        <f>7385026+10000+10375680</f>
        <v>17770706</v>
      </c>
      <c r="J41" s="230"/>
      <c r="K41" s="230">
        <v>20000</v>
      </c>
    </row>
    <row r="42" spans="1:11" s="277" customFormat="1" ht="12" customHeight="1" x14ac:dyDescent="0.2">
      <c r="A42" s="11" t="s">
        <v>91</v>
      </c>
      <c r="B42" s="291" t="s">
        <v>221</v>
      </c>
      <c r="C42" s="1322">
        <v>77258808</v>
      </c>
      <c r="D42" s="1312">
        <v>69205220</v>
      </c>
      <c r="E42" s="620">
        <f>100000+12004000+160000+7128864</f>
        <v>19392864</v>
      </c>
      <c r="F42" s="621">
        <v>7533500</v>
      </c>
      <c r="G42" s="619">
        <v>68193838</v>
      </c>
      <c r="H42" s="299">
        <f>'1.1.sz.mell. '!C43</f>
        <v>70238454</v>
      </c>
      <c r="I42" s="1030">
        <f>15901900+787402+500000</f>
        <v>17189302</v>
      </c>
      <c r="J42" s="1029">
        <f>4000000+1241400+372638</f>
        <v>5614038</v>
      </c>
      <c r="K42" s="230">
        <f>32107480+8820000+616000+13688512</f>
        <v>55231992</v>
      </c>
    </row>
    <row r="43" spans="1:11" s="277" customFormat="1" ht="12" customHeight="1" x14ac:dyDescent="0.2">
      <c r="A43" s="11" t="s">
        <v>92</v>
      </c>
      <c r="B43" s="291" t="s">
        <v>222</v>
      </c>
      <c r="C43" s="1322">
        <v>17781177</v>
      </c>
      <c r="D43" s="1312">
        <v>17680191</v>
      </c>
      <c r="E43" s="620">
        <f>8458000+947000</f>
        <v>9405000</v>
      </c>
      <c r="F43" s="621">
        <v>500000</v>
      </c>
      <c r="G43" s="619">
        <v>85718340</v>
      </c>
      <c r="H43" s="299">
        <f>'1.1.sz.mell. '!C44</f>
        <v>28440392</v>
      </c>
      <c r="I43" s="1030">
        <f>20000+6000000+700000+1000000+1109692</f>
        <v>8829692</v>
      </c>
      <c r="J43" s="1029">
        <f>300000</f>
        <v>300000</v>
      </c>
      <c r="K43" s="230">
        <f>1586000+50000+4200000+12700000</f>
        <v>18536000</v>
      </c>
    </row>
    <row r="44" spans="1:11" s="277" customFormat="1" ht="12" customHeight="1" x14ac:dyDescent="0.2">
      <c r="A44" s="11" t="s">
        <v>138</v>
      </c>
      <c r="B44" s="291" t="s">
        <v>223</v>
      </c>
      <c r="C44" s="1322">
        <v>965935</v>
      </c>
      <c r="D44" s="1312">
        <v>3774152</v>
      </c>
      <c r="E44" s="620">
        <f>430000</f>
        <v>430000</v>
      </c>
      <c r="F44" s="621"/>
      <c r="G44" s="619"/>
      <c r="H44" s="299">
        <f>'1.1.sz.mell. '!C45</f>
        <v>3743473</v>
      </c>
      <c r="I44" s="1030">
        <f>440000+300000</f>
        <v>740000</v>
      </c>
      <c r="J44" s="1029"/>
      <c r="K44" s="230"/>
    </row>
    <row r="45" spans="1:11" s="277" customFormat="1" ht="12" customHeight="1" x14ac:dyDescent="0.2">
      <c r="A45" s="11" t="s">
        <v>139</v>
      </c>
      <c r="B45" s="291" t="s">
        <v>224</v>
      </c>
      <c r="C45" s="1322">
        <v>175322036</v>
      </c>
      <c r="D45" s="1312">
        <v>176293968</v>
      </c>
      <c r="E45" s="620"/>
      <c r="F45" s="621"/>
      <c r="G45" s="619">
        <f>182811402-4572000</f>
        <v>178239402</v>
      </c>
      <c r="H45" s="299">
        <f>'1.1.sz.mell. '!C46</f>
        <v>199444919</v>
      </c>
      <c r="I45" s="1030"/>
      <c r="J45" s="1029"/>
      <c r="K45" s="230">
        <f>17535396+708995+862330+152500000</f>
        <v>171606721</v>
      </c>
    </row>
    <row r="46" spans="1:11" s="277" customFormat="1" ht="12" customHeight="1" x14ac:dyDescent="0.2">
      <c r="A46" s="11" t="s">
        <v>140</v>
      </c>
      <c r="B46" s="291" t="s">
        <v>225</v>
      </c>
      <c r="C46" s="1322">
        <v>21427421</v>
      </c>
      <c r="D46" s="1312">
        <v>20117811</v>
      </c>
      <c r="E46" s="620">
        <f>1063000+3242000+5853000+44000+378000+600000+1350000+1408565</f>
        <v>13938565</v>
      </c>
      <c r="F46" s="621">
        <v>1283000</v>
      </c>
      <c r="G46" s="619">
        <v>31920598</v>
      </c>
      <c r="H46" s="299">
        <f>'1.1.sz.mell. '!C47</f>
        <v>24007648</v>
      </c>
      <c r="I46" s="1030">
        <f>5400+1993957+12052638+212598+189000+2801434+333450+135000</f>
        <v>17723477</v>
      </c>
      <c r="J46" s="1029">
        <f>1161000+335178+100612</f>
        <v>1596790</v>
      </c>
      <c r="K46" s="230">
        <f>4914377+191429+869400+1533149+4814904</f>
        <v>12323259</v>
      </c>
    </row>
    <row r="47" spans="1:11" s="277" customFormat="1" ht="12" customHeight="1" x14ac:dyDescent="0.2">
      <c r="A47" s="11" t="s">
        <v>141</v>
      </c>
      <c r="B47" s="291" t="s">
        <v>226</v>
      </c>
      <c r="C47" s="1322">
        <v>7222000</v>
      </c>
      <c r="D47" s="1312">
        <v>2550000</v>
      </c>
      <c r="E47" s="620"/>
      <c r="F47" s="621"/>
      <c r="G47" s="619">
        <v>21034000</v>
      </c>
      <c r="H47" s="299">
        <f>'1.1.sz.mell. '!C48</f>
        <v>35961645</v>
      </c>
      <c r="I47" s="1030"/>
      <c r="J47" s="1029"/>
      <c r="K47" s="230">
        <f>7614000+650000+169000</f>
        <v>8433000</v>
      </c>
    </row>
    <row r="48" spans="1:11" s="277" customFormat="1" ht="12" customHeight="1" x14ac:dyDescent="0.2">
      <c r="A48" s="11" t="s">
        <v>142</v>
      </c>
      <c r="B48" s="291" t="s">
        <v>536</v>
      </c>
      <c r="C48" s="1322">
        <v>167</v>
      </c>
      <c r="D48" s="1312">
        <v>153</v>
      </c>
      <c r="E48" s="620">
        <v>30000</v>
      </c>
      <c r="F48" s="621"/>
      <c r="G48" s="619">
        <v>10000</v>
      </c>
      <c r="H48" s="299">
        <f>'1.1.sz.mell. '!C49</f>
        <v>0</v>
      </c>
      <c r="I48" s="1030"/>
      <c r="J48" s="1029"/>
      <c r="K48" s="230"/>
    </row>
    <row r="49" spans="1:11" s="277" customFormat="1" ht="12" customHeight="1" x14ac:dyDescent="0.2">
      <c r="A49" s="11" t="s">
        <v>218</v>
      </c>
      <c r="B49" s="291" t="s">
        <v>228</v>
      </c>
      <c r="C49" s="1322"/>
      <c r="D49" s="1312"/>
      <c r="E49" s="620"/>
      <c r="F49" s="621"/>
      <c r="G49" s="619"/>
      <c r="H49" s="299">
        <f>'1.1.sz.mell. '!C50</f>
        <v>0</v>
      </c>
      <c r="I49" s="1030"/>
      <c r="J49" s="1029"/>
      <c r="K49" s="230"/>
    </row>
    <row r="50" spans="1:11" s="277" customFormat="1" ht="12" customHeight="1" x14ac:dyDescent="0.2">
      <c r="A50" s="13" t="s">
        <v>219</v>
      </c>
      <c r="B50" s="292" t="s">
        <v>440</v>
      </c>
      <c r="C50" s="1322">
        <v>1209667</v>
      </c>
      <c r="D50" s="1312">
        <v>1278624</v>
      </c>
      <c r="E50" s="626">
        <f>500000</f>
        <v>500000</v>
      </c>
      <c r="F50" s="627"/>
      <c r="G50" s="619"/>
      <c r="H50" s="299">
        <f>'1.1.sz.mell. '!C51</f>
        <v>1000000</v>
      </c>
      <c r="I50" s="1031">
        <f>500000</f>
        <v>500000</v>
      </c>
      <c r="J50" s="181"/>
      <c r="K50" s="230"/>
    </row>
    <row r="51" spans="1:11" s="277" customFormat="1" ht="12" customHeight="1" thickBot="1" x14ac:dyDescent="0.25">
      <c r="A51" s="13" t="s">
        <v>441</v>
      </c>
      <c r="B51" s="448" t="s">
        <v>229</v>
      </c>
      <c r="C51" s="1323">
        <v>5226899</v>
      </c>
      <c r="D51" s="1313">
        <v>34952667</v>
      </c>
      <c r="E51" s="626">
        <f>704000</f>
        <v>704000</v>
      </c>
      <c r="F51" s="627">
        <v>100000</v>
      </c>
      <c r="G51" s="619"/>
      <c r="H51" s="468">
        <f>'1.1.sz.mell. '!C52</f>
        <v>1621777</v>
      </c>
      <c r="I51" s="1031">
        <f>507601+335000+700000</f>
        <v>1542601</v>
      </c>
      <c r="J51" s="181">
        <f>640000</f>
        <v>640000</v>
      </c>
      <c r="K51" s="230">
        <v>1000</v>
      </c>
    </row>
    <row r="52" spans="1:11" s="277" customFormat="1" ht="12" customHeight="1" thickBot="1" x14ac:dyDescent="0.25">
      <c r="A52" s="17" t="s">
        <v>24</v>
      </c>
      <c r="B52" s="446" t="s">
        <v>230</v>
      </c>
      <c r="C52" s="1098">
        <f>SUM(C53:C57)</f>
        <v>5525134</v>
      </c>
      <c r="D52" s="1314">
        <f>SUM(D53:D57)</f>
        <v>8433198</v>
      </c>
      <c r="E52" s="617">
        <f>SUM(E53:E57)</f>
        <v>25179000</v>
      </c>
      <c r="F52" s="616">
        <f>SUM(F53:F57)</f>
        <v>0</v>
      </c>
      <c r="G52" s="616">
        <f>SUM(G53:G57)</f>
        <v>0</v>
      </c>
      <c r="H52" s="116">
        <f>'1.1.sz.mell. '!C53</f>
        <v>63000000</v>
      </c>
      <c r="I52" s="276">
        <f>SUM(I53:I57)</f>
        <v>21787500</v>
      </c>
      <c r="J52" s="116">
        <f>SUM(J53:J57)</f>
        <v>300000</v>
      </c>
      <c r="K52" s="116">
        <f>SUM(K53:K57)</f>
        <v>0</v>
      </c>
    </row>
    <row r="53" spans="1:11" s="277" customFormat="1" ht="12" customHeight="1" x14ac:dyDescent="0.2">
      <c r="A53" s="12" t="s">
        <v>93</v>
      </c>
      <c r="B53" s="290" t="s">
        <v>234</v>
      </c>
      <c r="C53" s="1325"/>
      <c r="D53" s="1317"/>
      <c r="E53" s="618"/>
      <c r="F53" s="619"/>
      <c r="G53" s="619"/>
      <c r="H53" s="469">
        <f>'1.1.sz.mell. '!C54</f>
        <v>0</v>
      </c>
      <c r="I53" s="1032"/>
      <c r="J53" s="230"/>
      <c r="K53" s="230"/>
    </row>
    <row r="54" spans="1:11" s="277" customFormat="1" ht="12" customHeight="1" x14ac:dyDescent="0.2">
      <c r="A54" s="11" t="s">
        <v>94</v>
      </c>
      <c r="B54" s="291" t="s">
        <v>235</v>
      </c>
      <c r="C54" s="1322">
        <v>5202984</v>
      </c>
      <c r="D54" s="1312">
        <v>8058657</v>
      </c>
      <c r="E54" s="620">
        <f>25179000</f>
        <v>25179000</v>
      </c>
      <c r="F54" s="621"/>
      <c r="G54" s="621"/>
      <c r="H54" s="299">
        <f>'1.1.sz.mell. '!C55</f>
        <v>63000000</v>
      </c>
      <c r="I54" s="1030">
        <f>21787500</f>
        <v>21787500</v>
      </c>
      <c r="J54" s="1029"/>
      <c r="K54" s="1029"/>
    </row>
    <row r="55" spans="1:11" s="277" customFormat="1" ht="12" customHeight="1" x14ac:dyDescent="0.2">
      <c r="A55" s="11" t="s">
        <v>231</v>
      </c>
      <c r="B55" s="291" t="s">
        <v>236</v>
      </c>
      <c r="C55" s="1322">
        <v>177050</v>
      </c>
      <c r="D55" s="1312">
        <v>44541</v>
      </c>
      <c r="E55" s="620"/>
      <c r="F55" s="621"/>
      <c r="G55" s="621"/>
      <c r="H55" s="299">
        <f>'1.1.sz.mell. '!C56</f>
        <v>0</v>
      </c>
      <c r="I55" s="1030"/>
      <c r="J55" s="1029">
        <f>300000</f>
        <v>300000</v>
      </c>
      <c r="K55" s="1029"/>
    </row>
    <row r="56" spans="1:11" s="277" customFormat="1" ht="12" customHeight="1" x14ac:dyDescent="0.2">
      <c r="A56" s="11" t="s">
        <v>232</v>
      </c>
      <c r="B56" s="291" t="s">
        <v>237</v>
      </c>
      <c r="C56" s="1322"/>
      <c r="D56" s="1312"/>
      <c r="E56" s="620"/>
      <c r="F56" s="621"/>
      <c r="G56" s="621"/>
      <c r="H56" s="299">
        <f>'1.1.sz.mell. '!C57</f>
        <v>0</v>
      </c>
      <c r="I56" s="1030"/>
      <c r="J56" s="1029"/>
      <c r="K56" s="1029"/>
    </row>
    <row r="57" spans="1:11" s="277" customFormat="1" ht="12" customHeight="1" thickBot="1" x14ac:dyDescent="0.25">
      <c r="A57" s="13" t="s">
        <v>233</v>
      </c>
      <c r="B57" s="448" t="s">
        <v>238</v>
      </c>
      <c r="C57" s="1323">
        <v>145100</v>
      </c>
      <c r="D57" s="1313">
        <v>330000</v>
      </c>
      <c r="E57" s="626"/>
      <c r="F57" s="627"/>
      <c r="G57" s="627"/>
      <c r="H57" s="471">
        <f>'1.1.sz.mell. '!C58</f>
        <v>0</v>
      </c>
      <c r="I57" s="1031"/>
      <c r="J57" s="181"/>
      <c r="K57" s="181"/>
    </row>
    <row r="58" spans="1:11" s="277" customFormat="1" ht="12" customHeight="1" thickBot="1" x14ac:dyDescent="0.25">
      <c r="A58" s="17" t="s">
        <v>143</v>
      </c>
      <c r="B58" s="446" t="s">
        <v>239</v>
      </c>
      <c r="C58" s="1098">
        <f>SUM(C59:C61)</f>
        <v>18124157</v>
      </c>
      <c r="D58" s="1314">
        <f>SUM(D59:D61)</f>
        <v>2494416</v>
      </c>
      <c r="E58" s="617">
        <f>SUM(E59:E61)</f>
        <v>6164433</v>
      </c>
      <c r="F58" s="616">
        <f>SUM(F59:F61)</f>
        <v>0</v>
      </c>
      <c r="G58" s="616">
        <f>SUM(G59:G61)</f>
        <v>0</v>
      </c>
      <c r="H58" s="289">
        <f>'1.1.sz.mell. '!C59</f>
        <v>1200000</v>
      </c>
      <c r="I58" s="276">
        <f>SUM(I59:I61)</f>
        <v>1430000</v>
      </c>
      <c r="J58" s="116">
        <f>SUM(J59:J61)</f>
        <v>0</v>
      </c>
      <c r="K58" s="116">
        <f>SUM(K59:K61)</f>
        <v>0</v>
      </c>
    </row>
    <row r="59" spans="1:11" s="277" customFormat="1" ht="12" customHeight="1" x14ac:dyDescent="0.2">
      <c r="A59" s="12" t="s">
        <v>95</v>
      </c>
      <c r="B59" s="290" t="s">
        <v>240</v>
      </c>
      <c r="C59" s="1326"/>
      <c r="D59" s="1318"/>
      <c r="E59" s="624"/>
      <c r="F59" s="625"/>
      <c r="G59" s="625"/>
      <c r="H59" s="472">
        <f>'1.1.sz.mell. '!C60</f>
        <v>0</v>
      </c>
      <c r="I59" s="278"/>
      <c r="J59" s="118"/>
      <c r="K59" s="118"/>
    </row>
    <row r="60" spans="1:11" s="277" customFormat="1" ht="12" customHeight="1" x14ac:dyDescent="0.2">
      <c r="A60" s="11" t="s">
        <v>96</v>
      </c>
      <c r="B60" s="291" t="s">
        <v>371</v>
      </c>
      <c r="C60" s="1322">
        <v>15332864</v>
      </c>
      <c r="D60" s="1312">
        <v>540368</v>
      </c>
      <c r="E60" s="620">
        <f>383000+1566000</f>
        <v>1949000</v>
      </c>
      <c r="F60" s="621"/>
      <c r="G60" s="621"/>
      <c r="H60" s="299">
        <f>'1.1.sz.mell. '!C61</f>
        <v>200000</v>
      </c>
      <c r="I60" s="1030">
        <f>480000</f>
        <v>480000</v>
      </c>
      <c r="J60" s="1029"/>
      <c r="K60" s="1029"/>
    </row>
    <row r="61" spans="1:11" s="277" customFormat="1" ht="12" customHeight="1" x14ac:dyDescent="0.2">
      <c r="A61" s="11" t="s">
        <v>243</v>
      </c>
      <c r="B61" s="291" t="s">
        <v>241</v>
      </c>
      <c r="C61" s="1322">
        <v>2791293</v>
      </c>
      <c r="D61" s="1312">
        <v>1954048</v>
      </c>
      <c r="E61" s="620">
        <f>4075000+140433</f>
        <v>4215433</v>
      </c>
      <c r="F61" s="621"/>
      <c r="G61" s="621"/>
      <c r="H61" s="299">
        <f>'1.1.sz.mell. '!C62</f>
        <v>1000000</v>
      </c>
      <c r="I61" s="1030">
        <f>950000</f>
        <v>950000</v>
      </c>
      <c r="J61" s="1029"/>
      <c r="K61" s="1029"/>
    </row>
    <row r="62" spans="1:11" s="277" customFormat="1" ht="12" customHeight="1" thickBot="1" x14ac:dyDescent="0.25">
      <c r="A62" s="13" t="s">
        <v>244</v>
      </c>
      <c r="B62" s="448" t="s">
        <v>242</v>
      </c>
      <c r="C62" s="1323"/>
      <c r="D62" s="1313"/>
      <c r="E62" s="635"/>
      <c r="F62" s="636"/>
      <c r="G62" s="636"/>
      <c r="H62" s="468">
        <f>'1.1.sz.mell. '!C63</f>
        <v>0</v>
      </c>
      <c r="I62" s="106"/>
      <c r="J62" s="119"/>
      <c r="K62" s="119"/>
    </row>
    <row r="63" spans="1:11" s="277" customFormat="1" ht="12" customHeight="1" thickBot="1" x14ac:dyDescent="0.25">
      <c r="A63" s="17" t="s">
        <v>26</v>
      </c>
      <c r="B63" s="449" t="s">
        <v>245</v>
      </c>
      <c r="C63" s="1098">
        <f>SUM(C64:C66)</f>
        <v>0</v>
      </c>
      <c r="D63" s="1314">
        <f>SUM(D64:D66)</f>
        <v>11510400</v>
      </c>
      <c r="E63" s="617">
        <f>SUM(E64:E66)</f>
        <v>0</v>
      </c>
      <c r="F63" s="616">
        <f>SUM(F64:F66)</f>
        <v>0</v>
      </c>
      <c r="G63" s="616">
        <f>SUM(G64:G66)</f>
        <v>0</v>
      </c>
      <c r="H63" s="116">
        <f>'1.1.sz.mell. '!C64</f>
        <v>0</v>
      </c>
      <c r="I63" s="276">
        <f>SUM(I64:I66)</f>
        <v>0</v>
      </c>
      <c r="J63" s="116">
        <f>SUM(J64:J66)</f>
        <v>0</v>
      </c>
      <c r="K63" s="116">
        <f>SUM(K64:K66)</f>
        <v>0</v>
      </c>
    </row>
    <row r="64" spans="1:11" s="277" customFormat="1" ht="12" customHeight="1" x14ac:dyDescent="0.2">
      <c r="A64" s="12" t="s">
        <v>144</v>
      </c>
      <c r="B64" s="290" t="s">
        <v>247</v>
      </c>
      <c r="C64" s="1325"/>
      <c r="D64" s="1317"/>
      <c r="E64" s="620"/>
      <c r="F64" s="621"/>
      <c r="G64" s="621"/>
      <c r="H64" s="469">
        <f>'1.1.sz.mell. '!C65</f>
        <v>0</v>
      </c>
      <c r="I64" s="1030"/>
      <c r="J64" s="1029"/>
      <c r="K64" s="1029"/>
    </row>
    <row r="65" spans="1:11" s="277" customFormat="1" ht="12" customHeight="1" x14ac:dyDescent="0.2">
      <c r="A65" s="11" t="s">
        <v>145</v>
      </c>
      <c r="B65" s="291" t="s">
        <v>372</v>
      </c>
      <c r="C65" s="1324"/>
      <c r="D65" s="1315"/>
      <c r="E65" s="620"/>
      <c r="F65" s="621"/>
      <c r="G65" s="621"/>
      <c r="H65" s="470">
        <f>'1.1.sz.mell. '!C66</f>
        <v>0</v>
      </c>
      <c r="I65" s="1030"/>
      <c r="J65" s="1029"/>
      <c r="K65" s="1029"/>
    </row>
    <row r="66" spans="1:11" s="277" customFormat="1" ht="12" customHeight="1" x14ac:dyDescent="0.2">
      <c r="A66" s="11" t="s">
        <v>171</v>
      </c>
      <c r="B66" s="291" t="s">
        <v>248</v>
      </c>
      <c r="C66" s="1324"/>
      <c r="D66" s="1315">
        <v>11510400</v>
      </c>
      <c r="E66" s="620"/>
      <c r="F66" s="621"/>
      <c r="G66" s="621"/>
      <c r="H66" s="470">
        <f>'1.1.sz.mell. '!C67</f>
        <v>0</v>
      </c>
      <c r="I66" s="1030"/>
      <c r="J66" s="1029"/>
      <c r="K66" s="1029"/>
    </row>
    <row r="67" spans="1:11" s="277" customFormat="1" ht="12" customHeight="1" thickBot="1" x14ac:dyDescent="0.25">
      <c r="A67" s="13" t="s">
        <v>246</v>
      </c>
      <c r="B67" s="448" t="s">
        <v>249</v>
      </c>
      <c r="C67" s="1327"/>
      <c r="D67" s="1319">
        <v>5060400</v>
      </c>
      <c r="E67" s="620"/>
      <c r="F67" s="621"/>
      <c r="G67" s="621"/>
      <c r="H67" s="471">
        <f>'1.1.sz.mell. '!C68</f>
        <v>0</v>
      </c>
      <c r="I67" s="1030"/>
      <c r="J67" s="1029"/>
      <c r="K67" s="1029"/>
    </row>
    <row r="68" spans="1:11" s="277" customFormat="1" ht="12" customHeight="1" thickBot="1" x14ac:dyDescent="0.25">
      <c r="A68" s="251" t="s">
        <v>442</v>
      </c>
      <c r="B68" s="446" t="s">
        <v>250</v>
      </c>
      <c r="C68" s="634">
        <f>C9+C18+C25+C32+C40+C52+C58+C63</f>
        <v>3345215538</v>
      </c>
      <c r="D68" s="617">
        <f>D9+D18+D25+D32+D40+D52+D58+D63</f>
        <v>2561106428</v>
      </c>
      <c r="E68" s="630">
        <f>+E9+E18+E25+E32+E40+E52+E58+E63</f>
        <v>1391439714</v>
      </c>
      <c r="F68" s="631">
        <f>+F9+F18+F25+F32+F40+F52+F58+F63</f>
        <v>9416500</v>
      </c>
      <c r="G68" s="631">
        <f>+G9+G18+G25+G32+G40+G52+G58+G63</f>
        <v>390751178</v>
      </c>
      <c r="H68" s="116">
        <f>'1.1.sz.mell. '!C69</f>
        <v>2958996769</v>
      </c>
      <c r="I68" s="279">
        <f>+I9+I18+I25+I32+I40+I52+I58+I63</f>
        <v>2315958967</v>
      </c>
      <c r="J68" s="121">
        <f>+J9+J18+J25+J32+J40+J52+J58+J63</f>
        <v>8450828</v>
      </c>
      <c r="K68" s="121">
        <f>+K9+K18+K25+K32+K40+K52+K58+K63</f>
        <v>288906915</v>
      </c>
    </row>
    <row r="69" spans="1:11" s="277" customFormat="1" ht="12" customHeight="1" thickBot="1" x14ac:dyDescent="0.25">
      <c r="A69" s="252" t="s">
        <v>251</v>
      </c>
      <c r="B69" s="449" t="s">
        <v>537</v>
      </c>
      <c r="C69" s="634">
        <f>SUM(C70:C72)</f>
        <v>30020437</v>
      </c>
      <c r="D69" s="617">
        <f>SUM(D70:D72)</f>
        <v>842474481</v>
      </c>
      <c r="E69" s="617">
        <f>SUM(E70:E72)</f>
        <v>144100000</v>
      </c>
      <c r="F69" s="616">
        <f>SUM(F70:F72)</f>
        <v>0</v>
      </c>
      <c r="G69" s="616">
        <f>SUM(G70:G72)</f>
        <v>0</v>
      </c>
      <c r="H69" s="116">
        <f>'1.1.sz.mell. '!C70</f>
        <v>868562529</v>
      </c>
      <c r="I69" s="276">
        <f>SUM(I70:I72)</f>
        <v>169269106</v>
      </c>
      <c r="J69" s="116">
        <f>SUM(J70:J72)</f>
        <v>0</v>
      </c>
      <c r="K69" s="116">
        <f>SUM(K70:K72)</f>
        <v>0</v>
      </c>
    </row>
    <row r="70" spans="1:11" s="277" customFormat="1" ht="12" customHeight="1" x14ac:dyDescent="0.2">
      <c r="A70" s="12" t="s">
        <v>283</v>
      </c>
      <c r="B70" s="290" t="s">
        <v>253</v>
      </c>
      <c r="C70" s="1321">
        <v>30020437</v>
      </c>
      <c r="D70" s="1311">
        <v>21319241</v>
      </c>
      <c r="E70" s="620">
        <v>44100000</v>
      </c>
      <c r="F70" s="621"/>
      <c r="G70" s="621"/>
      <c r="H70" s="467">
        <f>'1.1.sz.mell. '!C71</f>
        <v>18562529</v>
      </c>
      <c r="I70" s="1030">
        <f>69269106</f>
        <v>69269106</v>
      </c>
      <c r="J70" s="1029"/>
      <c r="K70" s="1029"/>
    </row>
    <row r="71" spans="1:11" s="277" customFormat="1" ht="12" customHeight="1" x14ac:dyDescent="0.2">
      <c r="A71" s="11" t="s">
        <v>292</v>
      </c>
      <c r="B71" s="291" t="s">
        <v>254</v>
      </c>
      <c r="C71" s="1322"/>
      <c r="D71" s="1312">
        <v>821155240</v>
      </c>
      <c r="E71" s="620">
        <v>100000000</v>
      </c>
      <c r="F71" s="621"/>
      <c r="G71" s="621"/>
      <c r="H71" s="299">
        <f>'1.1.sz.mell. '!C72</f>
        <v>850000000</v>
      </c>
      <c r="I71" s="1030">
        <v>100000000</v>
      </c>
      <c r="J71" s="1029"/>
      <c r="K71" s="1029"/>
    </row>
    <row r="72" spans="1:11" s="277" customFormat="1" ht="12" customHeight="1" thickBot="1" x14ac:dyDescent="0.25">
      <c r="A72" s="13" t="s">
        <v>293</v>
      </c>
      <c r="B72" s="450" t="s">
        <v>443</v>
      </c>
      <c r="C72" s="1327"/>
      <c r="D72" s="1319"/>
      <c r="E72" s="620"/>
      <c r="F72" s="621"/>
      <c r="G72" s="621"/>
      <c r="H72" s="471">
        <f>'1.1.sz.mell. '!C73</f>
        <v>0</v>
      </c>
      <c r="I72" s="1030"/>
      <c r="J72" s="1029"/>
      <c r="K72" s="1029"/>
    </row>
    <row r="73" spans="1:11" s="277" customFormat="1" ht="12" customHeight="1" thickBot="1" x14ac:dyDescent="0.25">
      <c r="A73" s="252" t="s">
        <v>256</v>
      </c>
      <c r="B73" s="449" t="s">
        <v>257</v>
      </c>
      <c r="C73" s="647">
        <f>SUM(C74:C77)</f>
        <v>0</v>
      </c>
      <c r="D73" s="1320">
        <f>SUM(D74:D77)</f>
        <v>0</v>
      </c>
      <c r="E73" s="617">
        <f>SUM(E74:E77)</f>
        <v>0</v>
      </c>
      <c r="F73" s="616">
        <f>SUM(F74:F77)</f>
        <v>0</v>
      </c>
      <c r="G73" s="616">
        <f>SUM(G74:G77)</f>
        <v>0</v>
      </c>
      <c r="H73" s="116">
        <f>'1.1.sz.mell. '!C74</f>
        <v>0</v>
      </c>
      <c r="I73" s="276">
        <f>SUM(I74:I77)</f>
        <v>0</v>
      </c>
      <c r="J73" s="116">
        <f>SUM(J74:J77)</f>
        <v>0</v>
      </c>
      <c r="K73" s="116">
        <f>SUM(K74:K77)</f>
        <v>0</v>
      </c>
    </row>
    <row r="74" spans="1:11" s="277" customFormat="1" ht="12" customHeight="1" x14ac:dyDescent="0.2">
      <c r="A74" s="12" t="s">
        <v>124</v>
      </c>
      <c r="B74" s="290" t="s">
        <v>258</v>
      </c>
      <c r="C74" s="1325"/>
      <c r="D74" s="1317"/>
      <c r="E74" s="620"/>
      <c r="F74" s="621"/>
      <c r="G74" s="621"/>
      <c r="H74" s="469">
        <f>'1.1.sz.mell. '!C75</f>
        <v>0</v>
      </c>
      <c r="I74" s="1030"/>
      <c r="J74" s="1029"/>
      <c r="K74" s="1029"/>
    </row>
    <row r="75" spans="1:11" s="277" customFormat="1" ht="17.25" customHeight="1" x14ac:dyDescent="0.2">
      <c r="A75" s="11" t="s">
        <v>125</v>
      </c>
      <c r="B75" s="291" t="s">
        <v>259</v>
      </c>
      <c r="C75" s="1324"/>
      <c r="D75" s="1315"/>
      <c r="E75" s="620"/>
      <c r="F75" s="621"/>
      <c r="G75" s="621"/>
      <c r="H75" s="470">
        <f>'1.1.sz.mell. '!C76</f>
        <v>0</v>
      </c>
      <c r="I75" s="1030"/>
      <c r="J75" s="1029"/>
      <c r="K75" s="1029"/>
    </row>
    <row r="76" spans="1:11" s="277" customFormat="1" ht="12" customHeight="1" x14ac:dyDescent="0.2">
      <c r="A76" s="11" t="s">
        <v>284</v>
      </c>
      <c r="B76" s="291" t="s">
        <v>260</v>
      </c>
      <c r="C76" s="1324"/>
      <c r="D76" s="1315"/>
      <c r="E76" s="620"/>
      <c r="F76" s="621"/>
      <c r="G76" s="621"/>
      <c r="H76" s="470">
        <f>'1.1.sz.mell. '!C77</f>
        <v>0</v>
      </c>
      <c r="I76" s="1030"/>
      <c r="J76" s="1029"/>
      <c r="K76" s="1029"/>
    </row>
    <row r="77" spans="1:11" s="277" customFormat="1" ht="12" customHeight="1" thickBot="1" x14ac:dyDescent="0.25">
      <c r="A77" s="13" t="s">
        <v>285</v>
      </c>
      <c r="B77" s="448" t="s">
        <v>261</v>
      </c>
      <c r="C77" s="1327"/>
      <c r="D77" s="1319"/>
      <c r="E77" s="620"/>
      <c r="F77" s="621"/>
      <c r="G77" s="621"/>
      <c r="H77" s="471">
        <f>'1.1.sz.mell. '!C78</f>
        <v>0</v>
      </c>
      <c r="I77" s="1030"/>
      <c r="J77" s="1029"/>
      <c r="K77" s="1029"/>
    </row>
    <row r="78" spans="1:11" s="277" customFormat="1" ht="12" customHeight="1" thickBot="1" x14ac:dyDescent="0.25">
      <c r="A78" s="252" t="s">
        <v>262</v>
      </c>
      <c r="B78" s="449" t="s">
        <v>263</v>
      </c>
      <c r="C78" s="634">
        <f>SUM(C79:C80)</f>
        <v>367267935</v>
      </c>
      <c r="D78" s="617">
        <f>SUM(D79:D80)</f>
        <v>933051850</v>
      </c>
      <c r="E78" s="617">
        <f>SUM(E79:E80)</f>
        <v>289331423</v>
      </c>
      <c r="F78" s="616">
        <f>SUM(F79:F80)</f>
        <v>447404</v>
      </c>
      <c r="G78" s="616">
        <f>SUM(G79:G80)</f>
        <v>3220588</v>
      </c>
      <c r="H78" s="116">
        <f>'1.1.sz.mell. '!C79</f>
        <v>856482639</v>
      </c>
      <c r="I78" s="276">
        <f>SUM(I79:I80)</f>
        <v>346583469</v>
      </c>
      <c r="J78" s="116">
        <f>SUM(J79:J80)</f>
        <v>829764</v>
      </c>
      <c r="K78" s="116">
        <f>SUM(K79:K80)</f>
        <v>17254367</v>
      </c>
    </row>
    <row r="79" spans="1:11" s="277" customFormat="1" ht="12" customHeight="1" x14ac:dyDescent="0.2">
      <c r="A79" s="12" t="s">
        <v>286</v>
      </c>
      <c r="B79" s="290" t="s">
        <v>264</v>
      </c>
      <c r="C79" s="1321">
        <v>367267935</v>
      </c>
      <c r="D79" s="1311">
        <v>933051850</v>
      </c>
      <c r="E79" s="620">
        <v>289331423</v>
      </c>
      <c r="F79" s="621">
        <v>447404</v>
      </c>
      <c r="G79" s="621">
        <v>3220588</v>
      </c>
      <c r="H79" s="467">
        <f>'1.1.sz.mell. '!C80</f>
        <v>856482639</v>
      </c>
      <c r="I79" s="1030">
        <f>346583469</f>
        <v>346583469</v>
      </c>
      <c r="J79" s="1029">
        <f>829764</f>
        <v>829764</v>
      </c>
      <c r="K79" s="1029">
        <f>1550858+372804+435258+1054835+13840612</f>
        <v>17254367</v>
      </c>
    </row>
    <row r="80" spans="1:11" s="277" customFormat="1" ht="12" customHeight="1" thickBot="1" x14ac:dyDescent="0.25">
      <c r="A80" s="13" t="s">
        <v>287</v>
      </c>
      <c r="B80" s="448" t="s">
        <v>265</v>
      </c>
      <c r="C80" s="1327"/>
      <c r="D80" s="1319"/>
      <c r="E80" s="620"/>
      <c r="F80" s="621"/>
      <c r="G80" s="621"/>
      <c r="H80" s="471">
        <f>'1.1.sz.mell. '!C81</f>
        <v>0</v>
      </c>
      <c r="I80" s="1030"/>
      <c r="J80" s="1029"/>
      <c r="K80" s="1029"/>
    </row>
    <row r="81" spans="1:11" s="277" customFormat="1" ht="12" customHeight="1" thickBot="1" x14ac:dyDescent="0.25">
      <c r="A81" s="252" t="s">
        <v>266</v>
      </c>
      <c r="B81" s="449" t="s">
        <v>267</v>
      </c>
      <c r="C81" s="637">
        <f>SUM(C82:C84)</f>
        <v>45672254</v>
      </c>
      <c r="D81" s="630">
        <f>SUM(D82:D84)</f>
        <v>48966750</v>
      </c>
      <c r="E81" s="617">
        <f>SUM(E82:E84)</f>
        <v>0</v>
      </c>
      <c r="F81" s="616">
        <f>SUM(F82:F84)</f>
        <v>0</v>
      </c>
      <c r="G81" s="616">
        <f>SUM(G82:G84)</f>
        <v>0</v>
      </c>
      <c r="H81" s="116">
        <f>'1.1.sz.mell. '!C82</f>
        <v>48966750</v>
      </c>
      <c r="I81" s="276">
        <f>SUM(I82:I84)</f>
        <v>0</v>
      </c>
      <c r="J81" s="116">
        <f>SUM(J82:J84)</f>
        <v>0</v>
      </c>
      <c r="K81" s="116">
        <f>SUM(K82:K84)</f>
        <v>0</v>
      </c>
    </row>
    <row r="82" spans="1:11" s="277" customFormat="1" ht="12" customHeight="1" x14ac:dyDescent="0.2">
      <c r="A82" s="12" t="s">
        <v>288</v>
      </c>
      <c r="B82" s="290" t="s">
        <v>268</v>
      </c>
      <c r="C82" s="1321">
        <v>45672254</v>
      </c>
      <c r="D82" s="1311">
        <v>48966750</v>
      </c>
      <c r="E82" s="620"/>
      <c r="F82" s="621"/>
      <c r="G82" s="621"/>
      <c r="H82" s="469">
        <f>'1.1.sz.mell. '!C83</f>
        <v>48966750</v>
      </c>
      <c r="I82" s="1030"/>
      <c r="J82" s="1029"/>
      <c r="K82" s="1029"/>
    </row>
    <row r="83" spans="1:11" s="277" customFormat="1" ht="12" customHeight="1" x14ac:dyDescent="0.2">
      <c r="A83" s="11" t="s">
        <v>289</v>
      </c>
      <c r="B83" s="291" t="s">
        <v>269</v>
      </c>
      <c r="C83" s="1324"/>
      <c r="D83" s="1315"/>
      <c r="E83" s="620"/>
      <c r="F83" s="621"/>
      <c r="G83" s="621"/>
      <c r="H83" s="470">
        <f>'1.1.sz.mell. '!C84</f>
        <v>0</v>
      </c>
      <c r="I83" s="1030"/>
      <c r="J83" s="1029"/>
      <c r="K83" s="1029"/>
    </row>
    <row r="84" spans="1:11" s="277" customFormat="1" ht="12" customHeight="1" thickBot="1" x14ac:dyDescent="0.25">
      <c r="A84" s="13" t="s">
        <v>290</v>
      </c>
      <c r="B84" s="448" t="s">
        <v>270</v>
      </c>
      <c r="C84" s="1327"/>
      <c r="D84" s="1319"/>
      <c r="E84" s="620"/>
      <c r="F84" s="621"/>
      <c r="G84" s="621"/>
      <c r="H84" s="471">
        <f>'1.1.sz.mell. '!C85</f>
        <v>0</v>
      </c>
      <c r="I84" s="1030"/>
      <c r="J84" s="1029"/>
      <c r="K84" s="1029"/>
    </row>
    <row r="85" spans="1:11" s="277" customFormat="1" ht="12" customHeight="1" thickBot="1" x14ac:dyDescent="0.25">
      <c r="A85" s="252" t="s">
        <v>271</v>
      </c>
      <c r="B85" s="449" t="s">
        <v>291</v>
      </c>
      <c r="C85" s="647">
        <f>SUM(C86:C89)</f>
        <v>0</v>
      </c>
      <c r="D85" s="1320">
        <f>SUM(D86:D89)</f>
        <v>0</v>
      </c>
      <c r="E85" s="617">
        <f>SUM(E86:E89)</f>
        <v>0</v>
      </c>
      <c r="F85" s="616">
        <f>SUM(F86:F89)</f>
        <v>0</v>
      </c>
      <c r="G85" s="616">
        <f>SUM(G86:G89)</f>
        <v>0</v>
      </c>
      <c r="H85" s="116">
        <f>'1.1.sz.mell. '!C86</f>
        <v>0</v>
      </c>
      <c r="I85" s="276">
        <f>SUM(I86:I89)</f>
        <v>0</v>
      </c>
      <c r="J85" s="116">
        <f>SUM(J86:J89)</f>
        <v>0</v>
      </c>
      <c r="K85" s="116">
        <f>SUM(K86:K89)</f>
        <v>0</v>
      </c>
    </row>
    <row r="86" spans="1:11" s="277" customFormat="1" ht="12" customHeight="1" x14ac:dyDescent="0.2">
      <c r="A86" s="196" t="s">
        <v>272</v>
      </c>
      <c r="B86" s="290" t="s">
        <v>273</v>
      </c>
      <c r="C86" s="1325"/>
      <c r="D86" s="1317"/>
      <c r="E86" s="620"/>
      <c r="F86" s="621"/>
      <c r="G86" s="621"/>
      <c r="H86" s="469">
        <f>'1.1.sz.mell. '!C87</f>
        <v>0</v>
      </c>
      <c r="I86" s="1030"/>
      <c r="J86" s="1029"/>
      <c r="K86" s="1029"/>
    </row>
    <row r="87" spans="1:11" s="277" customFormat="1" ht="12" customHeight="1" x14ac:dyDescent="0.2">
      <c r="A87" s="197" t="s">
        <v>274</v>
      </c>
      <c r="B87" s="291" t="s">
        <v>275</v>
      </c>
      <c r="C87" s="1324"/>
      <c r="D87" s="1315"/>
      <c r="E87" s="620"/>
      <c r="F87" s="621"/>
      <c r="G87" s="621"/>
      <c r="H87" s="470">
        <f>'1.1.sz.mell. '!C88</f>
        <v>0</v>
      </c>
      <c r="I87" s="1030"/>
      <c r="J87" s="1029"/>
      <c r="K87" s="1029"/>
    </row>
    <row r="88" spans="1:11" s="277" customFormat="1" ht="12" customHeight="1" x14ac:dyDescent="0.2">
      <c r="A88" s="197" t="s">
        <v>276</v>
      </c>
      <c r="B88" s="291" t="s">
        <v>277</v>
      </c>
      <c r="C88" s="1324"/>
      <c r="D88" s="1315"/>
      <c r="E88" s="620"/>
      <c r="F88" s="621"/>
      <c r="G88" s="621"/>
      <c r="H88" s="470">
        <f>'1.1.sz.mell. '!C89</f>
        <v>0</v>
      </c>
      <c r="I88" s="1030"/>
      <c r="J88" s="1029"/>
      <c r="K88" s="1029"/>
    </row>
    <row r="89" spans="1:11" s="277" customFormat="1" ht="12" customHeight="1" thickBot="1" x14ac:dyDescent="0.25">
      <c r="A89" s="198" t="s">
        <v>278</v>
      </c>
      <c r="B89" s="448" t="s">
        <v>279</v>
      </c>
      <c r="C89" s="1327"/>
      <c r="D89" s="1319"/>
      <c r="E89" s="620"/>
      <c r="F89" s="621"/>
      <c r="G89" s="621"/>
      <c r="H89" s="471">
        <f>'1.1.sz.mell. '!C90</f>
        <v>0</v>
      </c>
      <c r="I89" s="1030"/>
      <c r="J89" s="1029"/>
      <c r="K89" s="1029"/>
    </row>
    <row r="90" spans="1:11" s="277" customFormat="1" ht="12" customHeight="1" thickBot="1" x14ac:dyDescent="0.25">
      <c r="A90" s="252" t="s">
        <v>280</v>
      </c>
      <c r="B90" s="449" t="s">
        <v>444</v>
      </c>
      <c r="C90" s="634"/>
      <c r="D90" s="617"/>
      <c r="E90" s="638"/>
      <c r="F90" s="639"/>
      <c r="G90" s="639"/>
      <c r="H90" s="116">
        <f>'1.1.sz.mell. '!C91</f>
        <v>0</v>
      </c>
      <c r="I90" s="281"/>
      <c r="J90" s="231"/>
      <c r="K90" s="231"/>
    </row>
    <row r="91" spans="1:11" s="277" customFormat="1" ht="12" customHeight="1" thickBot="1" x14ac:dyDescent="0.25">
      <c r="A91" s="252" t="s">
        <v>282</v>
      </c>
      <c r="B91" s="449" t="s">
        <v>281</v>
      </c>
      <c r="C91" s="634"/>
      <c r="D91" s="617"/>
      <c r="E91" s="638"/>
      <c r="F91" s="639"/>
      <c r="G91" s="639"/>
      <c r="H91" s="116">
        <f>'1.1.sz.mell. '!C92</f>
        <v>0</v>
      </c>
      <c r="I91" s="281"/>
      <c r="J91" s="231"/>
      <c r="K91" s="231"/>
    </row>
    <row r="92" spans="1:11" s="277" customFormat="1" ht="12" customHeight="1" thickBot="1" x14ac:dyDescent="0.25">
      <c r="A92" s="252" t="s">
        <v>294</v>
      </c>
      <c r="B92" s="451" t="s">
        <v>445</v>
      </c>
      <c r="C92" s="634">
        <f>C91+C90+C85+C81+C78+C73+C69</f>
        <v>442960626</v>
      </c>
      <c r="D92" s="617">
        <f>D91+D90+D85+D81+D78+D73+D69</f>
        <v>1824493081</v>
      </c>
      <c r="E92" s="630">
        <f>+E69+E73+E78+E81+E85+E91+E90</f>
        <v>433431423</v>
      </c>
      <c r="F92" s="631">
        <f>+F69+F73+F78+F81+F85+F91+F90</f>
        <v>447404</v>
      </c>
      <c r="G92" s="631">
        <f>+G69+G73+G78+G81+G85+G91+G90</f>
        <v>3220588</v>
      </c>
      <c r="H92" s="116">
        <f>'1.1.sz.mell. '!C93</f>
        <v>1774011918</v>
      </c>
      <c r="I92" s="279">
        <f>+I69+I73+I78+I81+I85+I91+I90</f>
        <v>515852575</v>
      </c>
      <c r="J92" s="121">
        <f>+J69+J73+J78+J81+J85+J91+J90</f>
        <v>829764</v>
      </c>
      <c r="K92" s="121">
        <f>+K69+K73+K78+K81+K85+K91+K90</f>
        <v>17254367</v>
      </c>
    </row>
    <row r="93" spans="1:11" s="277" customFormat="1" ht="12" customHeight="1" thickBot="1" x14ac:dyDescent="0.25">
      <c r="A93" s="254" t="s">
        <v>446</v>
      </c>
      <c r="B93" s="452" t="s">
        <v>447</v>
      </c>
      <c r="C93" s="634">
        <f>C92+C68</f>
        <v>3788176164</v>
      </c>
      <c r="D93" s="617">
        <f>D92+D68</f>
        <v>4385599509</v>
      </c>
      <c r="E93" s="630">
        <f>+E68+E92</f>
        <v>1824871137</v>
      </c>
      <c r="F93" s="631">
        <f>+F68+F92</f>
        <v>9863904</v>
      </c>
      <c r="G93" s="631">
        <f>+G68+G92</f>
        <v>393971766</v>
      </c>
      <c r="H93" s="116">
        <f>'1.1.sz.mell. '!C94</f>
        <v>4733008687</v>
      </c>
      <c r="I93" s="279">
        <f>+I68+I92</f>
        <v>2831811542</v>
      </c>
      <c r="J93" s="121">
        <f>+J68+J92</f>
        <v>9280592</v>
      </c>
      <c r="K93" s="121">
        <f>+K68+K92</f>
        <v>306161282</v>
      </c>
    </row>
    <row r="94" spans="1:11" s="277" customFormat="1" ht="12" customHeight="1" x14ac:dyDescent="0.2">
      <c r="A94" s="282"/>
      <c r="B94" s="283"/>
      <c r="C94" s="640"/>
      <c r="D94" s="641"/>
      <c r="E94" s="642"/>
      <c r="F94" s="642"/>
      <c r="G94" s="642"/>
      <c r="H94" s="643"/>
    </row>
    <row r="95" spans="1:11" s="277" customFormat="1" ht="12" customHeight="1" x14ac:dyDescent="0.2">
      <c r="A95" s="1423" t="s">
        <v>47</v>
      </c>
      <c r="B95" s="1423"/>
      <c r="C95" s="1423"/>
      <c r="D95" s="1423"/>
      <c r="E95" s="1423"/>
      <c r="F95" s="1423"/>
      <c r="G95" s="1423"/>
      <c r="H95" s="1423"/>
    </row>
    <row r="96" spans="1:11" s="277" customFormat="1" ht="12" customHeight="1" thickBot="1" x14ac:dyDescent="0.25">
      <c r="A96" s="1424" t="s">
        <v>127</v>
      </c>
      <c r="B96" s="1424"/>
      <c r="C96" s="644"/>
      <c r="D96" s="611"/>
      <c r="E96" s="611"/>
      <c r="F96" s="611"/>
      <c r="G96" s="611"/>
      <c r="H96" s="645" t="str">
        <f>H6</f>
        <v>Forintban!</v>
      </c>
    </row>
    <row r="97" spans="1:11" s="277" customFormat="1" ht="36.75" customHeight="1" thickBot="1" x14ac:dyDescent="0.25">
      <c r="A97" s="20" t="s">
        <v>17</v>
      </c>
      <c r="B97" s="464" t="s">
        <v>48</v>
      </c>
      <c r="C97" s="1272" t="str">
        <f>C7</f>
        <v>2019. évi tény</v>
      </c>
      <c r="D97" s="1272" t="str">
        <f>D7</f>
        <v>2020. évi várható adat</v>
      </c>
      <c r="E97" s="1272">
        <f>E7</f>
        <v>0</v>
      </c>
      <c r="F97" s="1272">
        <f>F7</f>
        <v>0</v>
      </c>
      <c r="G97" s="1272">
        <f>G7</f>
        <v>0</v>
      </c>
      <c r="H97" s="1272" t="str">
        <f>H7</f>
        <v>2021. évi előirányzat</v>
      </c>
    </row>
    <row r="98" spans="1:11" s="277" customFormat="1" ht="12" customHeight="1" thickBot="1" x14ac:dyDescent="0.25">
      <c r="A98" s="25" t="s">
        <v>434</v>
      </c>
      <c r="B98" s="300" t="s">
        <v>435</v>
      </c>
      <c r="C98" s="634" t="s">
        <v>436</v>
      </c>
      <c r="D98" s="646" t="s">
        <v>486</v>
      </c>
      <c r="E98" s="614"/>
      <c r="F98" s="614"/>
      <c r="G98" s="614"/>
      <c r="H98" s="615" t="s">
        <v>487</v>
      </c>
    </row>
    <row r="99" spans="1:11" s="277" customFormat="1" ht="15" customHeight="1" thickBot="1" x14ac:dyDescent="0.25">
      <c r="A99" s="19" t="s">
        <v>19</v>
      </c>
      <c r="B99" s="453" t="s">
        <v>485</v>
      </c>
      <c r="C99" s="1270">
        <f>SUM(C100:C104,C117)</f>
        <v>2286219244</v>
      </c>
      <c r="D99" s="1270">
        <f>SUM(D100:D104,D117)</f>
        <v>2234422838</v>
      </c>
      <c r="E99" s="1279"/>
      <c r="F99" s="1281"/>
      <c r="G99" s="1270"/>
      <c r="H99" s="1288">
        <f>'1.1.sz.mell. '!C100</f>
        <v>2831433172</v>
      </c>
      <c r="I99" s="284">
        <f>+I100+I101+I102+I103+I104+I117</f>
        <v>729611526</v>
      </c>
      <c r="J99" s="115">
        <f>+J100+J101+J102+J103+J104+J117</f>
        <v>223670940</v>
      </c>
      <c r="K99" s="289">
        <f>K100+K101+K102+K103+K104+K117</f>
        <v>1606947760</v>
      </c>
    </row>
    <row r="100" spans="1:11" s="277" customFormat="1" ht="12.95" customHeight="1" x14ac:dyDescent="0.2">
      <c r="A100" s="14" t="s">
        <v>97</v>
      </c>
      <c r="B100" s="454" t="s">
        <v>49</v>
      </c>
      <c r="C100" s="1328">
        <v>1036807081</v>
      </c>
      <c r="D100" s="1273">
        <v>1107374684</v>
      </c>
      <c r="E100" s="1285"/>
      <c r="F100" s="1289"/>
      <c r="G100" s="1289"/>
      <c r="H100" s="1299">
        <f>'1.1.sz.mell. '!C101</f>
        <v>1258326512</v>
      </c>
      <c r="I100" s="1033">
        <f>23173251+2787126+1407675+14384916+61829+2528076+5742073</f>
        <v>50084946</v>
      </c>
      <c r="J100" s="270">
        <f>147375885+935085+4069918</f>
        <v>152380888</v>
      </c>
      <c r="K100" s="270">
        <f>60512486+64039486+48091292+208655734+471445483</f>
        <v>852744481</v>
      </c>
    </row>
    <row r="101" spans="1:11" ht="16.5" customHeight="1" x14ac:dyDescent="0.25">
      <c r="A101" s="11" t="s">
        <v>98</v>
      </c>
      <c r="B101" s="455" t="s">
        <v>146</v>
      </c>
      <c r="C101" s="1329">
        <v>207856870</v>
      </c>
      <c r="D101" s="1297">
        <v>200144461</v>
      </c>
      <c r="E101" s="1290"/>
      <c r="F101" s="1298"/>
      <c r="G101" s="1298"/>
      <c r="H101" s="1299">
        <f>'1.1.sz.mell. '!C102</f>
        <v>215518047</v>
      </c>
      <c r="I101" s="1030">
        <f>4364055+1409889+7817+2684650+14227+10944+444000+1007723</f>
        <v>9943305</v>
      </c>
      <c r="J101" s="1029">
        <f>30406649+133681+815187</f>
        <v>31355517</v>
      </c>
      <c r="K101" s="1029">
        <f>13261042+12834203+9499320+44850807+98130166</f>
        <v>178575538</v>
      </c>
    </row>
    <row r="102" spans="1:11" x14ac:dyDescent="0.25">
      <c r="A102" s="11" t="s">
        <v>99</v>
      </c>
      <c r="B102" s="455" t="s">
        <v>122</v>
      </c>
      <c r="C102" s="1329">
        <v>803850676</v>
      </c>
      <c r="D102" s="1297">
        <v>742294097</v>
      </c>
      <c r="E102" s="1294"/>
      <c r="F102" s="1271"/>
      <c r="G102" s="1298"/>
      <c r="H102" s="1299">
        <f>'1.1.sz.mell. '!C103</f>
        <v>985774764</v>
      </c>
      <c r="I102" s="103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1">
        <f>38780508+150000+369027+635000</f>
        <v>39934535</v>
      </c>
      <c r="K102" s="1029">
        <f>229985778+15749737+50789082+80145873+198957271</f>
        <v>575627741</v>
      </c>
    </row>
    <row r="103" spans="1:11" s="275" customFormat="1" ht="12" customHeight="1" x14ac:dyDescent="0.2">
      <c r="A103" s="11" t="s">
        <v>100</v>
      </c>
      <c r="B103" s="458" t="s">
        <v>147</v>
      </c>
      <c r="C103" s="1329">
        <v>47275053</v>
      </c>
      <c r="D103" s="1297">
        <v>46911174</v>
      </c>
      <c r="E103" s="1294"/>
      <c r="F103" s="1271"/>
      <c r="G103" s="1271"/>
      <c r="H103" s="1299">
        <f>'1.1.sz.mell. '!C104</f>
        <v>56500000</v>
      </c>
      <c r="I103" s="1031">
        <f>24250000+48100000+3500000</f>
        <v>75850000</v>
      </c>
      <c r="J103" s="181"/>
      <c r="K103" s="181"/>
    </row>
    <row r="104" spans="1:11" ht="12" customHeight="1" x14ac:dyDescent="0.25">
      <c r="A104" s="11" t="s">
        <v>111</v>
      </c>
      <c r="B104" s="16" t="s">
        <v>148</v>
      </c>
      <c r="C104" s="1266">
        <f>SUM(C105:C116)</f>
        <v>190429564</v>
      </c>
      <c r="D104" s="1266">
        <f>SUM(D105:D116)</f>
        <v>137698422</v>
      </c>
      <c r="E104" s="1266">
        <f>SUM(E105:E116)</f>
        <v>0</v>
      </c>
      <c r="F104" s="1266">
        <f>SUM(F105:F116)</f>
        <v>0</v>
      </c>
      <c r="G104" s="1266">
        <f>SUM(G105:G116)</f>
        <v>0</v>
      </c>
      <c r="H104" s="1266">
        <f>'1.1.sz.mell. '!C105</f>
        <v>198934698</v>
      </c>
      <c r="I104" s="1031">
        <f>SUM(I105:I116)</f>
        <v>219979003</v>
      </c>
      <c r="J104" s="1031">
        <f>SUM(J105:J116)</f>
        <v>0</v>
      </c>
      <c r="K104" s="181"/>
    </row>
    <row r="105" spans="1:11" ht="12" customHeight="1" x14ac:dyDescent="0.25">
      <c r="A105" s="11" t="s">
        <v>101</v>
      </c>
      <c r="B105" s="455" t="s">
        <v>448</v>
      </c>
      <c r="C105" s="1329">
        <v>9463052</v>
      </c>
      <c r="D105" s="1297">
        <v>792176</v>
      </c>
      <c r="E105" s="1294"/>
      <c r="F105" s="1271"/>
      <c r="G105" s="1271"/>
      <c r="H105" s="1299">
        <f>'1.1.sz.mell. '!C106</f>
        <v>140000</v>
      </c>
      <c r="I105" s="1031">
        <v>100000</v>
      </c>
      <c r="J105" s="181"/>
      <c r="K105" s="181"/>
    </row>
    <row r="106" spans="1:11" ht="12" customHeight="1" x14ac:dyDescent="0.25">
      <c r="A106" s="11" t="s">
        <v>102</v>
      </c>
      <c r="B106" s="457" t="s">
        <v>449</v>
      </c>
      <c r="C106" s="1329"/>
      <c r="D106" s="1297"/>
      <c r="E106" s="1294"/>
      <c r="F106" s="1271"/>
      <c r="G106" s="1271"/>
      <c r="H106" s="1299">
        <f>'1.1.sz.mell. '!C107</f>
        <v>0</v>
      </c>
      <c r="I106" s="1031"/>
      <c r="J106" s="181"/>
      <c r="K106" s="181"/>
    </row>
    <row r="107" spans="1:11" ht="12" customHeight="1" x14ac:dyDescent="0.25">
      <c r="A107" s="11" t="s">
        <v>112</v>
      </c>
      <c r="B107" s="457" t="s">
        <v>450</v>
      </c>
      <c r="C107" s="1329"/>
      <c r="D107" s="1297"/>
      <c r="E107" s="1294"/>
      <c r="F107" s="1271"/>
      <c r="G107" s="1271"/>
      <c r="H107" s="1299">
        <f>'1.1.sz.mell. '!C108</f>
        <v>24566831</v>
      </c>
      <c r="I107" s="1031"/>
      <c r="J107" s="181"/>
      <c r="K107" s="181"/>
    </row>
    <row r="108" spans="1:11" ht="12" customHeight="1" x14ac:dyDescent="0.25">
      <c r="A108" s="11" t="s">
        <v>113</v>
      </c>
      <c r="B108" s="466" t="s">
        <v>297</v>
      </c>
      <c r="C108" s="1329"/>
      <c r="D108" s="1297"/>
      <c r="E108" s="1294"/>
      <c r="F108" s="1271"/>
      <c r="G108" s="1271"/>
      <c r="H108" s="1299">
        <f>'1.1.sz.mell. '!C109</f>
        <v>0</v>
      </c>
      <c r="I108" s="1031"/>
      <c r="J108" s="181"/>
      <c r="K108" s="181"/>
    </row>
    <row r="109" spans="1:11" ht="12" customHeight="1" x14ac:dyDescent="0.25">
      <c r="A109" s="11" t="s">
        <v>114</v>
      </c>
      <c r="B109" s="463" t="s">
        <v>298</v>
      </c>
      <c r="C109" s="1329"/>
      <c r="D109" s="1297"/>
      <c r="E109" s="1294"/>
      <c r="F109" s="1271"/>
      <c r="G109" s="1271"/>
      <c r="H109" s="1299">
        <f>'1.1.sz.mell. '!C110</f>
        <v>0</v>
      </c>
      <c r="I109" s="1031"/>
      <c r="J109" s="181"/>
      <c r="K109" s="181"/>
    </row>
    <row r="110" spans="1:11" ht="12" customHeight="1" x14ac:dyDescent="0.25">
      <c r="A110" s="11" t="s">
        <v>115</v>
      </c>
      <c r="B110" s="463" t="s">
        <v>299</v>
      </c>
      <c r="C110" s="1329"/>
      <c r="D110" s="1297"/>
      <c r="E110" s="1294"/>
      <c r="F110" s="1271"/>
      <c r="G110" s="1271"/>
      <c r="H110" s="1299">
        <f>'1.1.sz.mell. '!C111</f>
        <v>0</v>
      </c>
      <c r="I110" s="1031"/>
      <c r="J110" s="181"/>
      <c r="K110" s="181"/>
    </row>
    <row r="111" spans="1:11" ht="12" customHeight="1" x14ac:dyDescent="0.25">
      <c r="A111" s="11" t="s">
        <v>117</v>
      </c>
      <c r="B111" s="466" t="s">
        <v>300</v>
      </c>
      <c r="C111" s="1329">
        <v>4012934</v>
      </c>
      <c r="D111" s="1297">
        <v>1352500</v>
      </c>
      <c r="E111" s="1294"/>
      <c r="F111" s="1271"/>
      <c r="G111" s="1271"/>
      <c r="H111" s="1299">
        <f>'1.1.sz.mell. '!C112</f>
        <v>636000</v>
      </c>
      <c r="I111" s="1031">
        <f>523000</f>
        <v>523000</v>
      </c>
      <c r="J111" s="181"/>
      <c r="K111" s="181"/>
    </row>
    <row r="112" spans="1:11" ht="12" customHeight="1" x14ac:dyDescent="0.25">
      <c r="A112" s="11" t="s">
        <v>149</v>
      </c>
      <c r="B112" s="466" t="s">
        <v>301</v>
      </c>
      <c r="C112" s="1329"/>
      <c r="D112" s="1297"/>
      <c r="E112" s="1294"/>
      <c r="F112" s="1271"/>
      <c r="G112" s="1271"/>
      <c r="H112" s="1299">
        <f>'1.1.sz.mell. '!C113</f>
        <v>0</v>
      </c>
      <c r="I112" s="1031"/>
      <c r="J112" s="181"/>
      <c r="K112" s="181"/>
    </row>
    <row r="113" spans="1:11" ht="12" customHeight="1" x14ac:dyDescent="0.25">
      <c r="A113" s="11" t="s">
        <v>295</v>
      </c>
      <c r="B113" s="463" t="s">
        <v>302</v>
      </c>
      <c r="C113" s="1329">
        <v>15400000</v>
      </c>
      <c r="D113" s="1297"/>
      <c r="E113" s="1294"/>
      <c r="F113" s="1271"/>
      <c r="G113" s="1271"/>
      <c r="H113" s="1299">
        <f>'1.1.sz.mell. '!C114</f>
        <v>0</v>
      </c>
      <c r="I113" s="1031"/>
      <c r="J113" s="181"/>
      <c r="K113" s="181"/>
    </row>
    <row r="114" spans="1:11" ht="12" customHeight="1" x14ac:dyDescent="0.25">
      <c r="A114" s="10" t="s">
        <v>296</v>
      </c>
      <c r="B114" s="457" t="s">
        <v>303</v>
      </c>
      <c r="C114" s="1329"/>
      <c r="D114" s="1297"/>
      <c r="E114" s="1294"/>
      <c r="F114" s="1271"/>
      <c r="G114" s="1271"/>
      <c r="H114" s="1299">
        <f>'1.1.sz.mell. '!C115</f>
        <v>0</v>
      </c>
      <c r="I114" s="1031"/>
      <c r="J114" s="181"/>
      <c r="K114" s="181"/>
    </row>
    <row r="115" spans="1:11" ht="12" customHeight="1" x14ac:dyDescent="0.25">
      <c r="A115" s="11" t="s">
        <v>451</v>
      </c>
      <c r="B115" s="457" t="s">
        <v>304</v>
      </c>
      <c r="C115" s="1329"/>
      <c r="D115" s="1297"/>
      <c r="E115" s="1294"/>
      <c r="F115" s="1271"/>
      <c r="G115" s="1271"/>
      <c r="H115" s="1299">
        <f>'1.1.sz.mell. '!C116</f>
        <v>0</v>
      </c>
      <c r="I115" s="1031"/>
      <c r="J115" s="181"/>
      <c r="K115" s="181"/>
    </row>
    <row r="116" spans="1:11" ht="12" customHeight="1" x14ac:dyDescent="0.25">
      <c r="A116" s="13" t="s">
        <v>452</v>
      </c>
      <c r="B116" s="457" t="s">
        <v>305</v>
      </c>
      <c r="C116" s="1329">
        <v>161553578</v>
      </c>
      <c r="D116" s="1297">
        <v>135553746</v>
      </c>
      <c r="E116" s="1290"/>
      <c r="F116" s="1298"/>
      <c r="G116" s="1271"/>
      <c r="H116" s="1299">
        <f>'1.1.sz.mell. '!C117</f>
        <v>173591867</v>
      </c>
      <c r="I116" s="1030">
        <f>1000000+47869145+6604733+15489215+46984511+23326783+69312000+7332000+1437616</f>
        <v>219356003</v>
      </c>
      <c r="J116" s="1029"/>
      <c r="K116" s="181"/>
    </row>
    <row r="117" spans="1:11" ht="12" customHeight="1" x14ac:dyDescent="0.25">
      <c r="A117" s="11" t="s">
        <v>453</v>
      </c>
      <c r="B117" s="458" t="s">
        <v>50</v>
      </c>
      <c r="C117" s="1329"/>
      <c r="D117" s="1297"/>
      <c r="E117" s="1290"/>
      <c r="F117" s="1298"/>
      <c r="G117" s="1298"/>
      <c r="H117" s="1299">
        <f>'1.1.sz.mell. '!C118</f>
        <v>116379151</v>
      </c>
      <c r="I117" s="1030">
        <f>SUM(I118:I119)</f>
        <v>78390965</v>
      </c>
      <c r="J117" s="1030">
        <f>SUM(J118:J119)</f>
        <v>0</v>
      </c>
      <c r="K117" s="1029"/>
    </row>
    <row r="118" spans="1:11" ht="12" customHeight="1" x14ac:dyDescent="0.25">
      <c r="A118" s="11" t="s">
        <v>454</v>
      </c>
      <c r="B118" s="455" t="s">
        <v>455</v>
      </c>
      <c r="C118" s="1329"/>
      <c r="D118" s="1297"/>
      <c r="E118" s="1294"/>
      <c r="F118" s="1271"/>
      <c r="G118" s="1298"/>
      <c r="H118" s="1299">
        <f>'1.1.sz.mell. '!C119</f>
        <v>10000000</v>
      </c>
      <c r="I118" s="1031">
        <v>15000000</v>
      </c>
      <c r="J118" s="181"/>
      <c r="K118" s="1029"/>
    </row>
    <row r="119" spans="1:11" ht="12" customHeight="1" thickBot="1" x14ac:dyDescent="0.3">
      <c r="A119" s="15" t="s">
        <v>456</v>
      </c>
      <c r="B119" s="459" t="s">
        <v>457</v>
      </c>
      <c r="C119" s="1330"/>
      <c r="D119" s="1287"/>
      <c r="E119" s="1274"/>
      <c r="F119" s="1293"/>
      <c r="G119" s="1293"/>
      <c r="H119" s="1299">
        <f>'1.1.sz.mell. '!C120</f>
        <v>106379151</v>
      </c>
      <c r="I119" s="295">
        <f>63390965</f>
        <v>63390965</v>
      </c>
      <c r="J119" s="274"/>
      <c r="K119" s="274"/>
    </row>
    <row r="120" spans="1:11" ht="12" customHeight="1" thickBot="1" x14ac:dyDescent="0.3">
      <c r="A120" s="256" t="s">
        <v>20</v>
      </c>
      <c r="B120" s="424" t="s">
        <v>306</v>
      </c>
      <c r="C120" s="1270">
        <f>C121+C123+C125</f>
        <v>478464804</v>
      </c>
      <c r="D120" s="1270">
        <f>D121+D123+D125</f>
        <v>401828104</v>
      </c>
      <c r="E120" s="1268"/>
      <c r="F120" s="1275"/>
      <c r="G120" s="1295"/>
      <c r="H120" s="1292">
        <f>'1.1.sz.mell. '!C121</f>
        <v>977615018</v>
      </c>
      <c r="I120" s="276">
        <f>+I121+I123+I125</f>
        <v>404630354</v>
      </c>
      <c r="J120" s="116">
        <f>+J121+J123+J125</f>
        <v>3585917</v>
      </c>
      <c r="K120" s="258">
        <f>+K121+K123+K125</f>
        <v>19950087</v>
      </c>
    </row>
    <row r="121" spans="1:11" ht="12" customHeight="1" x14ac:dyDescent="0.25">
      <c r="A121" s="12" t="s">
        <v>103</v>
      </c>
      <c r="B121" s="455" t="s">
        <v>170</v>
      </c>
      <c r="C121" s="1331">
        <v>211704361</v>
      </c>
      <c r="D121" s="1273">
        <v>223119190</v>
      </c>
      <c r="E121" s="1269"/>
      <c r="F121" s="1282"/>
      <c r="G121" s="1282"/>
      <c r="H121" s="1299">
        <f>'1.1.sz.mell. '!C122</f>
        <v>612539782</v>
      </c>
      <c r="I121" s="1032">
        <f>229989520+300000+13809000+835610+12076323+1270000+359410+4508500+2505001+5000+6704583</f>
        <v>272362947</v>
      </c>
      <c r="J121" s="230">
        <f>3355917+230000</f>
        <v>3585917</v>
      </c>
      <c r="K121" s="230">
        <f>506050+641350+1986214+1926590+13924683</f>
        <v>18984887</v>
      </c>
    </row>
    <row r="122" spans="1:11" x14ac:dyDescent="0.25">
      <c r="A122" s="12" t="s">
        <v>104</v>
      </c>
      <c r="B122" s="456" t="s">
        <v>310</v>
      </c>
      <c r="C122" s="1329"/>
      <c r="D122" s="1297"/>
      <c r="E122" s="1269"/>
      <c r="F122" s="1282"/>
      <c r="G122" s="1282"/>
      <c r="H122" s="1299">
        <f>'1.1.sz.mell. '!C123</f>
        <v>401925076</v>
      </c>
      <c r="I122" s="1032">
        <f>156693000+42191010+12076323+6704583</f>
        <v>217664916</v>
      </c>
      <c r="J122" s="230"/>
      <c r="K122" s="230">
        <v>717651</v>
      </c>
    </row>
    <row r="123" spans="1:11" ht="12" customHeight="1" x14ac:dyDescent="0.25">
      <c r="A123" s="12" t="s">
        <v>105</v>
      </c>
      <c r="B123" s="456" t="s">
        <v>150</v>
      </c>
      <c r="C123" s="1329">
        <v>259516521</v>
      </c>
      <c r="D123" s="1297">
        <v>174642005</v>
      </c>
      <c r="E123" s="1290"/>
      <c r="F123" s="1298"/>
      <c r="G123" s="1298"/>
      <c r="H123" s="1299">
        <f>'1.1.sz.mell. '!C124</f>
        <v>359163430</v>
      </c>
      <c r="I123" s="1030">
        <f>9517731+51474577+42450993+1905000</f>
        <v>105348301</v>
      </c>
      <c r="J123" s="1029"/>
      <c r="K123" s="1029">
        <v>965200</v>
      </c>
    </row>
    <row r="124" spans="1:11" ht="12" customHeight="1" x14ac:dyDescent="0.25">
      <c r="A124" s="12" t="s">
        <v>106</v>
      </c>
      <c r="B124" s="456" t="s">
        <v>311</v>
      </c>
      <c r="C124" s="1329"/>
      <c r="D124" s="1297"/>
      <c r="E124" s="1290"/>
      <c r="F124" s="1280"/>
      <c r="G124" s="1290"/>
      <c r="H124" s="1299">
        <f>'1.1.sz.mell. '!C125</f>
        <v>290689778</v>
      </c>
      <c r="I124" s="1030">
        <f>28614577+42450993-1206500</f>
        <v>69859070</v>
      </c>
      <c r="J124" s="578"/>
      <c r="K124" s="1030"/>
    </row>
    <row r="125" spans="1:11" ht="12" customHeight="1" x14ac:dyDescent="0.25">
      <c r="A125" s="12" t="s">
        <v>107</v>
      </c>
      <c r="B125" s="448" t="s">
        <v>172</v>
      </c>
      <c r="C125" s="1329">
        <f>SUM(C126:C133)</f>
        <v>7243922</v>
      </c>
      <c r="D125" s="1329">
        <f>SUM(D126:D133)</f>
        <v>4066909</v>
      </c>
      <c r="E125" s="1290"/>
      <c r="F125" s="1290"/>
      <c r="G125" s="1290"/>
      <c r="H125" s="1299">
        <f>'1.1.sz.mell. '!C126</f>
        <v>5911806</v>
      </c>
      <c r="I125" s="1030">
        <f>SUM(I126:I133)</f>
        <v>26919106</v>
      </c>
      <c r="J125" s="1030">
        <f>SUM(J126:J133)</f>
        <v>0</v>
      </c>
      <c r="K125" s="1030"/>
    </row>
    <row r="126" spans="1:11" ht="12" customHeight="1" x14ac:dyDescent="0.25">
      <c r="A126" s="12" t="s">
        <v>116</v>
      </c>
      <c r="B126" s="447" t="s">
        <v>373</v>
      </c>
      <c r="C126" s="1329"/>
      <c r="D126" s="1297"/>
      <c r="E126" s="1276"/>
      <c r="F126" s="1276"/>
      <c r="G126" s="1290"/>
      <c r="H126" s="1299">
        <f>'1.1.sz.mell. '!C127</f>
        <v>0</v>
      </c>
      <c r="I126" s="105"/>
      <c r="J126" s="105"/>
      <c r="K126" s="1030"/>
    </row>
    <row r="127" spans="1:11" ht="12" customHeight="1" x14ac:dyDescent="0.25">
      <c r="A127" s="12" t="s">
        <v>118</v>
      </c>
      <c r="B127" s="462" t="s">
        <v>316</v>
      </c>
      <c r="C127" s="1329"/>
      <c r="D127" s="1297"/>
      <c r="E127" s="1276"/>
      <c r="F127" s="1276"/>
      <c r="G127" s="1290"/>
      <c r="H127" s="1299">
        <f>'1.1.sz.mell. '!C128</f>
        <v>0</v>
      </c>
      <c r="I127" s="105"/>
      <c r="J127" s="105"/>
      <c r="K127" s="1030"/>
    </row>
    <row r="128" spans="1:11" ht="12" customHeight="1" x14ac:dyDescent="0.25">
      <c r="A128" s="12" t="s">
        <v>151</v>
      </c>
      <c r="B128" s="463" t="s">
        <v>299</v>
      </c>
      <c r="C128" s="1329"/>
      <c r="D128" s="1297"/>
      <c r="E128" s="1276"/>
      <c r="F128" s="1276"/>
      <c r="G128" s="1290"/>
      <c r="H128" s="1299">
        <f>'1.1.sz.mell. '!C129</f>
        <v>0</v>
      </c>
      <c r="I128" s="105"/>
      <c r="J128" s="105"/>
      <c r="K128" s="1030"/>
    </row>
    <row r="129" spans="1:11" ht="12" customHeight="1" x14ac:dyDescent="0.25">
      <c r="A129" s="12" t="s">
        <v>152</v>
      </c>
      <c r="B129" s="463" t="s">
        <v>315</v>
      </c>
      <c r="C129" s="1329">
        <v>308980</v>
      </c>
      <c r="D129" s="1297"/>
      <c r="E129" s="1276"/>
      <c r="F129" s="1276"/>
      <c r="G129" s="1290"/>
      <c r="H129" s="1299">
        <f>'1.1.sz.mell. '!C130</f>
        <v>0</v>
      </c>
      <c r="I129" s="105"/>
      <c r="J129" s="105"/>
      <c r="K129" s="1030"/>
    </row>
    <row r="130" spans="1:11" ht="12" customHeight="1" x14ac:dyDescent="0.25">
      <c r="A130" s="12" t="s">
        <v>153</v>
      </c>
      <c r="B130" s="463" t="s">
        <v>314</v>
      </c>
      <c r="C130" s="1329"/>
      <c r="D130" s="1297"/>
      <c r="E130" s="1276"/>
      <c r="F130" s="1276"/>
      <c r="G130" s="1290"/>
      <c r="H130" s="1299">
        <f>'1.1.sz.mell. '!C131</f>
        <v>0</v>
      </c>
      <c r="I130" s="105"/>
      <c r="J130" s="105"/>
      <c r="K130" s="1030"/>
    </row>
    <row r="131" spans="1:11" ht="12" customHeight="1" x14ac:dyDescent="0.25">
      <c r="A131" s="12" t="s">
        <v>307</v>
      </c>
      <c r="B131" s="463" t="s">
        <v>302</v>
      </c>
      <c r="C131" s="1329"/>
      <c r="D131" s="1297"/>
      <c r="E131" s="1276"/>
      <c r="F131" s="1276"/>
      <c r="G131" s="1290"/>
      <c r="H131" s="1299">
        <f>'1.1.sz.mell. '!C132</f>
        <v>0</v>
      </c>
      <c r="I131" s="105"/>
      <c r="J131" s="105"/>
      <c r="K131" s="1030"/>
    </row>
    <row r="132" spans="1:11" ht="12" customHeight="1" x14ac:dyDescent="0.25">
      <c r="A132" s="12" t="s">
        <v>308</v>
      </c>
      <c r="B132" s="463" t="s">
        <v>313</v>
      </c>
      <c r="C132" s="1329"/>
      <c r="D132" s="1297"/>
      <c r="E132" s="1276"/>
      <c r="F132" s="1276"/>
      <c r="G132" s="1290"/>
      <c r="H132" s="1299">
        <f>'1.1.sz.mell. '!C133</f>
        <v>0</v>
      </c>
      <c r="I132" s="105"/>
      <c r="J132" s="105"/>
      <c r="K132" s="1030"/>
    </row>
    <row r="133" spans="1:11" ht="12" customHeight="1" thickBot="1" x14ac:dyDescent="0.3">
      <c r="A133" s="10" t="s">
        <v>309</v>
      </c>
      <c r="B133" s="463" t="s">
        <v>312</v>
      </c>
      <c r="C133" s="1330">
        <v>6934942</v>
      </c>
      <c r="D133" s="1287">
        <v>4066909</v>
      </c>
      <c r="E133" s="1294"/>
      <c r="F133" s="1294"/>
      <c r="G133" s="1294"/>
      <c r="H133" s="1299">
        <f>'1.1.sz.mell. '!C134</f>
        <v>5911806</v>
      </c>
      <c r="I133" s="1031">
        <f>650000+26269106</f>
        <v>26919106</v>
      </c>
      <c r="J133" s="1031"/>
      <c r="K133" s="1031"/>
    </row>
    <row r="134" spans="1:11" ht="12" customHeight="1" thickBot="1" x14ac:dyDescent="0.3">
      <c r="A134" s="17" t="s">
        <v>21</v>
      </c>
      <c r="B134" s="425" t="s">
        <v>458</v>
      </c>
      <c r="C134" s="1270">
        <f>C120+C99</f>
        <v>2764684048</v>
      </c>
      <c r="D134" s="1270">
        <f>D120+D99</f>
        <v>2636250942</v>
      </c>
      <c r="E134" s="1268"/>
      <c r="F134" s="1275"/>
      <c r="G134" s="1275"/>
      <c r="H134" s="1292">
        <f>'1.1.sz.mell. '!C135</f>
        <v>3809048190</v>
      </c>
      <c r="I134" s="276">
        <f>+I99+I120</f>
        <v>1134241880</v>
      </c>
      <c r="J134" s="116">
        <f>+J99+J120</f>
        <v>227256857</v>
      </c>
      <c r="K134" s="116">
        <f>+K99+K120</f>
        <v>1626897847</v>
      </c>
    </row>
    <row r="135" spans="1:11" ht="12" customHeight="1" thickBot="1" x14ac:dyDescent="0.3">
      <c r="A135" s="17" t="s">
        <v>22</v>
      </c>
      <c r="B135" s="425" t="s">
        <v>459</v>
      </c>
      <c r="C135" s="1270">
        <f>SUM(C136:C138)</f>
        <v>16952500</v>
      </c>
      <c r="D135" s="1270">
        <f>SUM(D136:D138)</f>
        <v>847193674</v>
      </c>
      <c r="E135" s="1268"/>
      <c r="F135" s="1275"/>
      <c r="G135" s="1275"/>
      <c r="H135" s="1292">
        <f>'1.1.sz.mell. '!C136</f>
        <v>874993747</v>
      </c>
      <c r="I135" s="276">
        <f>+I136+I137+I138</f>
        <v>116952500</v>
      </c>
      <c r="J135" s="116">
        <f>+J136+J137+J138</f>
        <v>0</v>
      </c>
      <c r="K135" s="116">
        <f>+K136+K137+K138</f>
        <v>0</v>
      </c>
    </row>
    <row r="136" spans="1:11" ht="12" customHeight="1" x14ac:dyDescent="0.25">
      <c r="A136" s="12" t="s">
        <v>208</v>
      </c>
      <c r="B136" s="456" t="s">
        <v>460</v>
      </c>
      <c r="C136" s="1332">
        <v>16952500</v>
      </c>
      <c r="D136" s="1277">
        <v>26038434</v>
      </c>
      <c r="E136" s="1290"/>
      <c r="F136" s="1290"/>
      <c r="G136" s="1290"/>
      <c r="H136" s="1299">
        <f>'1.1.sz.mell. '!C137</f>
        <v>24993747</v>
      </c>
      <c r="I136" s="1030">
        <f>11674500+5278000</f>
        <v>16952500</v>
      </c>
      <c r="J136" s="1030"/>
      <c r="K136" s="1030"/>
    </row>
    <row r="137" spans="1:11" ht="12" customHeight="1" x14ac:dyDescent="0.25">
      <c r="A137" s="12" t="s">
        <v>211</v>
      </c>
      <c r="B137" s="456" t="s">
        <v>461</v>
      </c>
      <c r="C137" s="1333"/>
      <c r="D137" s="1278">
        <v>821155240</v>
      </c>
      <c r="E137" s="1276"/>
      <c r="F137" s="1276"/>
      <c r="G137" s="1276"/>
      <c r="H137" s="1299">
        <f>'1.1.sz.mell. '!C138</f>
        <v>850000000</v>
      </c>
      <c r="I137" s="105">
        <v>100000000</v>
      </c>
      <c r="J137" s="105"/>
      <c r="K137" s="105"/>
    </row>
    <row r="138" spans="1:11" ht="12" customHeight="1" thickBot="1" x14ac:dyDescent="0.3">
      <c r="A138" s="10" t="s">
        <v>212</v>
      </c>
      <c r="B138" s="456" t="s">
        <v>462</v>
      </c>
      <c r="C138" s="1334"/>
      <c r="D138" s="1265"/>
      <c r="E138" s="1276"/>
      <c r="F138" s="1276"/>
      <c r="G138" s="1276"/>
      <c r="H138" s="1267">
        <f>'1.1.sz.mell. '!C139</f>
        <v>0</v>
      </c>
      <c r="I138" s="105"/>
      <c r="J138" s="105"/>
      <c r="K138" s="105"/>
    </row>
    <row r="139" spans="1:11" ht="12" customHeight="1" thickBot="1" x14ac:dyDescent="0.3">
      <c r="A139" s="17" t="s">
        <v>23</v>
      </c>
      <c r="B139" s="425" t="s">
        <v>463</v>
      </c>
      <c r="C139" s="1283">
        <f>SUM(C140:C145)</f>
        <v>0</v>
      </c>
      <c r="D139" s="1283">
        <f>SUM(D140:D145)</f>
        <v>0</v>
      </c>
      <c r="E139" s="1283">
        <f>SUM(E140:E145)</f>
        <v>0</v>
      </c>
      <c r="F139" s="1283">
        <f>SUM(F140:F145)</f>
        <v>0</v>
      </c>
      <c r="G139" s="1283">
        <f>SUM(G140:G145)</f>
        <v>0</v>
      </c>
      <c r="H139" s="1283">
        <f>'1.1.sz.mell. '!C140</f>
        <v>0</v>
      </c>
      <c r="I139" s="276">
        <f>+I140+I141+I142+I143+I144+I145</f>
        <v>0</v>
      </c>
      <c r="J139" s="116">
        <f>+J140+J141+J142+J143+J144+J145</f>
        <v>0</v>
      </c>
      <c r="K139" s="116">
        <f>SUM(K140:K145)</f>
        <v>0</v>
      </c>
    </row>
    <row r="140" spans="1:11" ht="12" customHeight="1" x14ac:dyDescent="0.25">
      <c r="A140" s="12" t="s">
        <v>90</v>
      </c>
      <c r="B140" s="460" t="s">
        <v>464</v>
      </c>
      <c r="C140" s="1332"/>
      <c r="D140" s="1277"/>
      <c r="E140" s="1276"/>
      <c r="F140" s="1276"/>
      <c r="G140" s="1276"/>
      <c r="H140" s="1299">
        <f>'1.1.sz.mell. '!C141</f>
        <v>0</v>
      </c>
      <c r="I140" s="105"/>
      <c r="J140" s="105"/>
      <c r="K140" s="105"/>
    </row>
    <row r="141" spans="1:11" ht="12" customHeight="1" x14ac:dyDescent="0.25">
      <c r="A141" s="12" t="s">
        <v>91</v>
      </c>
      <c r="B141" s="460" t="s">
        <v>465</v>
      </c>
      <c r="C141" s="1333"/>
      <c r="D141" s="1278"/>
      <c r="E141" s="1276"/>
      <c r="F141" s="1276"/>
      <c r="G141" s="1276"/>
      <c r="H141" s="1299">
        <f>'1.1.sz.mell. '!C142</f>
        <v>0</v>
      </c>
      <c r="I141" s="105"/>
      <c r="J141" s="105"/>
      <c r="K141" s="105"/>
    </row>
    <row r="142" spans="1:11" ht="12" customHeight="1" x14ac:dyDescent="0.25">
      <c r="A142" s="12" t="s">
        <v>92</v>
      </c>
      <c r="B142" s="460" t="s">
        <v>466</v>
      </c>
      <c r="C142" s="1333"/>
      <c r="D142" s="1278"/>
      <c r="E142" s="1276"/>
      <c r="F142" s="1276"/>
      <c r="G142" s="1276"/>
      <c r="H142" s="1299">
        <f>'1.1.sz.mell. '!C143</f>
        <v>0</v>
      </c>
      <c r="I142" s="105"/>
      <c r="J142" s="105"/>
      <c r="K142" s="105"/>
    </row>
    <row r="143" spans="1:11" ht="12" customHeight="1" x14ac:dyDescent="0.25">
      <c r="A143" s="12" t="s">
        <v>138</v>
      </c>
      <c r="B143" s="460" t="s">
        <v>467</v>
      </c>
      <c r="C143" s="1333"/>
      <c r="D143" s="1278"/>
      <c r="E143" s="1276"/>
      <c r="F143" s="1276"/>
      <c r="G143" s="1276"/>
      <c r="H143" s="1299">
        <f>'1.1.sz.mell. '!C144</f>
        <v>0</v>
      </c>
      <c r="I143" s="105"/>
      <c r="J143" s="105"/>
      <c r="K143" s="105"/>
    </row>
    <row r="144" spans="1:11" ht="12" customHeight="1" x14ac:dyDescent="0.25">
      <c r="A144" s="12" t="s">
        <v>139</v>
      </c>
      <c r="B144" s="460" t="s">
        <v>468</v>
      </c>
      <c r="C144" s="1333"/>
      <c r="D144" s="1278"/>
      <c r="E144" s="1276"/>
      <c r="F144" s="1276"/>
      <c r="G144" s="1276"/>
      <c r="H144" s="1299">
        <f>'1.1.sz.mell. '!C145</f>
        <v>0</v>
      </c>
      <c r="I144" s="105"/>
      <c r="J144" s="105"/>
      <c r="K144" s="105"/>
    </row>
    <row r="145" spans="1:11" ht="12" customHeight="1" thickBot="1" x14ac:dyDescent="0.3">
      <c r="A145" s="10" t="s">
        <v>140</v>
      </c>
      <c r="B145" s="460" t="s">
        <v>469</v>
      </c>
      <c r="C145" s="1334"/>
      <c r="D145" s="1265"/>
      <c r="E145" s="1276"/>
      <c r="F145" s="1276"/>
      <c r="G145" s="1276"/>
      <c r="H145" s="1267">
        <f>'1.1.sz.mell. '!C146</f>
        <v>0</v>
      </c>
      <c r="I145" s="105"/>
      <c r="J145" s="105"/>
      <c r="K145" s="105"/>
    </row>
    <row r="146" spans="1:11" ht="12" customHeight="1" thickBot="1" x14ac:dyDescent="0.3">
      <c r="A146" s="17" t="s">
        <v>24</v>
      </c>
      <c r="B146" s="425" t="s">
        <v>470</v>
      </c>
      <c r="C146" s="1270">
        <f t="shared" ref="C146" si="0">SUM(C147:C150)</f>
        <v>41904332</v>
      </c>
      <c r="D146" s="1270">
        <f t="shared" ref="D146:K146" si="1">SUM(D147:D150)</f>
        <v>45672254</v>
      </c>
      <c r="E146" s="1270">
        <f t="shared" si="1"/>
        <v>0</v>
      </c>
      <c r="F146" s="1270">
        <f t="shared" si="1"/>
        <v>0</v>
      </c>
      <c r="G146" s="1270">
        <f t="shared" si="1"/>
        <v>0</v>
      </c>
      <c r="H146" s="1270">
        <f>'1.1.sz.mell. '!C147</f>
        <v>48966750</v>
      </c>
      <c r="I146" s="634">
        <f t="shared" si="1"/>
        <v>41904332</v>
      </c>
      <c r="J146" s="634">
        <f t="shared" si="1"/>
        <v>0</v>
      </c>
      <c r="K146" s="634">
        <f t="shared" si="1"/>
        <v>0</v>
      </c>
    </row>
    <row r="147" spans="1:11" ht="12" customHeight="1" x14ac:dyDescent="0.25">
      <c r="A147" s="12" t="s">
        <v>93</v>
      </c>
      <c r="B147" s="460" t="s">
        <v>317</v>
      </c>
      <c r="C147" s="1332"/>
      <c r="D147" s="1277"/>
      <c r="E147" s="1276"/>
      <c r="F147" s="1276"/>
      <c r="G147" s="1276"/>
      <c r="H147" s="1300">
        <f>'1.1.sz.mell. '!C148</f>
        <v>0</v>
      </c>
      <c r="I147" s="105"/>
      <c r="J147" s="105"/>
      <c r="K147" s="105"/>
    </row>
    <row r="148" spans="1:11" ht="12" customHeight="1" x14ac:dyDescent="0.25">
      <c r="A148" s="12" t="s">
        <v>94</v>
      </c>
      <c r="B148" s="460" t="s">
        <v>318</v>
      </c>
      <c r="C148" s="1333">
        <v>41904332</v>
      </c>
      <c r="D148" s="1278">
        <v>45672254</v>
      </c>
      <c r="E148" s="1276"/>
      <c r="F148" s="1276"/>
      <c r="G148" s="1276"/>
      <c r="H148" s="1299">
        <f>'1.1.sz.mell. '!C149</f>
        <v>48966750</v>
      </c>
      <c r="I148" s="105">
        <f>41904332</f>
        <v>41904332</v>
      </c>
      <c r="J148" s="105"/>
      <c r="K148" s="105"/>
    </row>
    <row r="149" spans="1:11" ht="12" customHeight="1" x14ac:dyDescent="0.25">
      <c r="A149" s="12" t="s">
        <v>231</v>
      </c>
      <c r="B149" s="460" t="s">
        <v>471</v>
      </c>
      <c r="C149" s="1333"/>
      <c r="D149" s="1278"/>
      <c r="E149" s="1276"/>
      <c r="F149" s="1276"/>
      <c r="G149" s="1276"/>
      <c r="H149" s="1300">
        <f>'1.1.sz.mell. '!C150</f>
        <v>0</v>
      </c>
      <c r="I149" s="105"/>
      <c r="J149" s="105"/>
      <c r="K149" s="105"/>
    </row>
    <row r="150" spans="1:11" ht="12" customHeight="1" thickBot="1" x14ac:dyDescent="0.3">
      <c r="A150" s="10" t="s">
        <v>232</v>
      </c>
      <c r="B150" s="461" t="s">
        <v>336</v>
      </c>
      <c r="C150" s="1334"/>
      <c r="D150" s="1265"/>
      <c r="E150" s="1276"/>
      <c r="F150" s="1276"/>
      <c r="G150" s="1276"/>
      <c r="H150" s="1301">
        <f>'1.1.sz.mell. '!C151</f>
        <v>0</v>
      </c>
      <c r="I150" s="105"/>
      <c r="J150" s="105"/>
      <c r="K150" s="105"/>
    </row>
    <row r="151" spans="1:11" ht="12" customHeight="1" thickBot="1" x14ac:dyDescent="0.3">
      <c r="A151" s="17" t="s">
        <v>25</v>
      </c>
      <c r="B151" s="425" t="s">
        <v>472</v>
      </c>
      <c r="C151" s="1302">
        <f>SUM(C152:C156)</f>
        <v>0</v>
      </c>
      <c r="D151" s="1302">
        <f>SUM(D152:D156)</f>
        <v>0</v>
      </c>
      <c r="E151" s="1302">
        <f>SUM(E152:E156)</f>
        <v>0</v>
      </c>
      <c r="F151" s="1302">
        <f>SUM(F152:F156)</f>
        <v>0</v>
      </c>
      <c r="G151" s="1302">
        <f>SUM(G152:G156)</f>
        <v>0</v>
      </c>
      <c r="H151" s="1302">
        <f>'1.1.sz.mell. '!C152</f>
        <v>0</v>
      </c>
      <c r="I151" s="286">
        <f>+I152+I153+I154+I155+I156</f>
        <v>0</v>
      </c>
      <c r="J151" s="124">
        <f>+J152+J153+J154+J155+J156</f>
        <v>0</v>
      </c>
      <c r="K151" s="124">
        <f>SUM(K152:K156)</f>
        <v>0</v>
      </c>
    </row>
    <row r="152" spans="1:11" ht="12" customHeight="1" x14ac:dyDescent="0.25">
      <c r="A152" s="12" t="s">
        <v>95</v>
      </c>
      <c r="B152" s="460" t="s">
        <v>473</v>
      </c>
      <c r="C152" s="1332"/>
      <c r="D152" s="1277"/>
      <c r="E152" s="1276"/>
      <c r="F152" s="1276"/>
      <c r="G152" s="1276"/>
      <c r="H152" s="1300">
        <f>'1.1.sz.mell. '!C153</f>
        <v>0</v>
      </c>
      <c r="I152" s="105"/>
      <c r="J152" s="105"/>
      <c r="K152" s="105"/>
    </row>
    <row r="153" spans="1:11" ht="12" customHeight="1" x14ac:dyDescent="0.25">
      <c r="A153" s="12" t="s">
        <v>96</v>
      </c>
      <c r="B153" s="460" t="s">
        <v>474</v>
      </c>
      <c r="C153" s="1333"/>
      <c r="D153" s="1278"/>
      <c r="E153" s="1276"/>
      <c r="F153" s="1276"/>
      <c r="G153" s="1276"/>
      <c r="H153" s="1300">
        <f>'1.1.sz.mell. '!C154</f>
        <v>0</v>
      </c>
      <c r="I153" s="105"/>
      <c r="J153" s="105"/>
      <c r="K153" s="105"/>
    </row>
    <row r="154" spans="1:11" ht="12" customHeight="1" x14ac:dyDescent="0.25">
      <c r="A154" s="12" t="s">
        <v>243</v>
      </c>
      <c r="B154" s="460" t="s">
        <v>475</v>
      </c>
      <c r="C154" s="1333"/>
      <c r="D154" s="1278"/>
      <c r="E154" s="1276"/>
      <c r="F154" s="1276"/>
      <c r="G154" s="1276"/>
      <c r="H154" s="1300">
        <f>'1.1.sz.mell. '!C155</f>
        <v>0</v>
      </c>
      <c r="I154" s="105"/>
      <c r="J154" s="105"/>
      <c r="K154" s="105"/>
    </row>
    <row r="155" spans="1:11" ht="12" customHeight="1" x14ac:dyDescent="0.25">
      <c r="A155" s="12" t="s">
        <v>244</v>
      </c>
      <c r="B155" s="460" t="s">
        <v>476</v>
      </c>
      <c r="C155" s="1333"/>
      <c r="D155" s="1278"/>
      <c r="E155" s="1276"/>
      <c r="F155" s="1276"/>
      <c r="G155" s="1276"/>
      <c r="H155" s="1300">
        <f>'1.1.sz.mell. '!C156</f>
        <v>0</v>
      </c>
      <c r="I155" s="105"/>
      <c r="J155" s="105"/>
      <c r="K155" s="105"/>
    </row>
    <row r="156" spans="1:11" ht="12" customHeight="1" thickBot="1" x14ac:dyDescent="0.3">
      <c r="A156" s="12" t="s">
        <v>477</v>
      </c>
      <c r="B156" s="460" t="s">
        <v>478</v>
      </c>
      <c r="C156" s="1334"/>
      <c r="D156" s="1265"/>
      <c r="E156" s="1303"/>
      <c r="F156" s="1303"/>
      <c r="G156" s="1276"/>
      <c r="H156" s="1301">
        <f>'1.1.sz.mell. '!C157</f>
        <v>0</v>
      </c>
      <c r="I156" s="106"/>
      <c r="J156" s="106"/>
      <c r="K156" s="105"/>
    </row>
    <row r="157" spans="1:11" ht="12" customHeight="1" thickBot="1" x14ac:dyDescent="0.3">
      <c r="A157" s="17" t="s">
        <v>26</v>
      </c>
      <c r="B157" s="425" t="s">
        <v>479</v>
      </c>
      <c r="C157" s="1283"/>
      <c r="D157" s="1304"/>
      <c r="E157" s="1305"/>
      <c r="F157" s="1306"/>
      <c r="G157" s="1307"/>
      <c r="H157" s="1292">
        <f>'1.1.sz.mell. '!C158</f>
        <v>0</v>
      </c>
      <c r="I157" s="286"/>
      <c r="J157" s="124"/>
      <c r="K157" s="259"/>
    </row>
    <row r="158" spans="1:11" ht="12" customHeight="1" thickBot="1" x14ac:dyDescent="0.3">
      <c r="A158" s="17" t="s">
        <v>27</v>
      </c>
      <c r="B158" s="425" t="s">
        <v>480</v>
      </c>
      <c r="C158" s="1283"/>
      <c r="D158" s="1304"/>
      <c r="E158" s="1305"/>
      <c r="F158" s="1306"/>
      <c r="G158" s="1307"/>
      <c r="H158" s="1292">
        <f>'1.1.sz.mell. '!C159</f>
        <v>0</v>
      </c>
      <c r="I158" s="286"/>
      <c r="J158" s="124"/>
      <c r="K158" s="259"/>
    </row>
    <row r="159" spans="1:11" ht="15" customHeight="1" thickBot="1" x14ac:dyDescent="0.3">
      <c r="A159" s="17" t="s">
        <v>28</v>
      </c>
      <c r="B159" s="425" t="s">
        <v>481</v>
      </c>
      <c r="C159" s="1270">
        <f>C135+C139+C146+C151+C157+C158</f>
        <v>58856832</v>
      </c>
      <c r="D159" s="1270">
        <f>D135+D139+D146+D151+D157+D158</f>
        <v>892865928</v>
      </c>
      <c r="E159" s="1308"/>
      <c r="F159" s="1309"/>
      <c r="G159" s="1309"/>
      <c r="H159" s="1292">
        <f>'1.1.sz.mell. '!C160</f>
        <v>923960497</v>
      </c>
      <c r="I159" s="287">
        <f>+I135+I139+I146+I151+I157+I158</f>
        <v>158856832</v>
      </c>
      <c r="J159" s="202">
        <f>+J135+J139+J146+J151+J157+J158</f>
        <v>0</v>
      </c>
      <c r="K159" s="202">
        <f>+K135+K139+K146+K151+K157+K158</f>
        <v>0</v>
      </c>
    </row>
    <row r="160" spans="1:11" s="277" customFormat="1" ht="12.95" customHeight="1" thickBot="1" x14ac:dyDescent="0.25">
      <c r="A160" s="114" t="s">
        <v>29</v>
      </c>
      <c r="B160" s="428" t="s">
        <v>482</v>
      </c>
      <c r="C160" s="1270">
        <f>C159+C134</f>
        <v>2823540880</v>
      </c>
      <c r="D160" s="1270">
        <f>D159+D134</f>
        <v>3529116870</v>
      </c>
      <c r="E160" s="1308"/>
      <c r="F160" s="1309"/>
      <c r="G160" s="1309"/>
      <c r="H160" s="1292">
        <f>'1.1.sz.mell. '!C161</f>
        <v>4733008687</v>
      </c>
      <c r="I160" s="287">
        <f>+I134+I159</f>
        <v>1293098712</v>
      </c>
      <c r="J160" s="202">
        <f>+J134+J159</f>
        <v>227256857</v>
      </c>
      <c r="K160" s="202">
        <f>+K134+K159</f>
        <v>1626897847</v>
      </c>
    </row>
    <row r="164" spans="3:11" s="910" customFormat="1" ht="16.5" customHeight="1" x14ac:dyDescent="0.25">
      <c r="C164" s="925"/>
      <c r="D164" s="925"/>
      <c r="E164" s="925"/>
      <c r="F164" s="925"/>
      <c r="G164" s="925"/>
      <c r="H164" s="925"/>
      <c r="I164" s="909"/>
      <c r="J164" s="909"/>
      <c r="K164" s="909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2"/>
  <sheetViews>
    <sheetView workbookViewId="0">
      <selection activeCell="F13" sqref="F13"/>
    </sheetView>
  </sheetViews>
  <sheetFormatPr defaultRowHeight="12.75" x14ac:dyDescent="0.2"/>
  <cols>
    <col min="1" max="1" width="6.83203125" style="905" customWidth="1"/>
    <col min="2" max="2" width="49.6640625" style="904" customWidth="1"/>
    <col min="3" max="3" width="12.83203125" style="926" customWidth="1"/>
    <col min="4" max="8" width="12.83203125" style="904" customWidth="1"/>
    <col min="9" max="9" width="13.83203125" style="904" customWidth="1"/>
    <col min="10" max="256" width="9.33203125" style="904"/>
    <col min="257" max="257" width="6.83203125" style="904" customWidth="1"/>
    <col min="258" max="258" width="49.6640625" style="904" customWidth="1"/>
    <col min="259" max="264" width="12.83203125" style="904" customWidth="1"/>
    <col min="265" max="265" width="13.83203125" style="904" customWidth="1"/>
    <col min="266" max="512" width="9.33203125" style="904"/>
    <col min="513" max="513" width="6.83203125" style="904" customWidth="1"/>
    <col min="514" max="514" width="49.6640625" style="904" customWidth="1"/>
    <col min="515" max="520" width="12.83203125" style="904" customWidth="1"/>
    <col min="521" max="521" width="13.83203125" style="904" customWidth="1"/>
    <col min="522" max="768" width="9.33203125" style="904"/>
    <col min="769" max="769" width="6.83203125" style="904" customWidth="1"/>
    <col min="770" max="770" width="49.6640625" style="904" customWidth="1"/>
    <col min="771" max="776" width="12.83203125" style="904" customWidth="1"/>
    <col min="777" max="777" width="13.83203125" style="904" customWidth="1"/>
    <col min="778" max="1024" width="9.33203125" style="904"/>
    <col min="1025" max="1025" width="6.83203125" style="904" customWidth="1"/>
    <col min="1026" max="1026" width="49.6640625" style="904" customWidth="1"/>
    <col min="1027" max="1032" width="12.83203125" style="904" customWidth="1"/>
    <col min="1033" max="1033" width="13.83203125" style="904" customWidth="1"/>
    <col min="1034" max="1280" width="9.33203125" style="904"/>
    <col min="1281" max="1281" width="6.83203125" style="904" customWidth="1"/>
    <col min="1282" max="1282" width="49.6640625" style="904" customWidth="1"/>
    <col min="1283" max="1288" width="12.83203125" style="904" customWidth="1"/>
    <col min="1289" max="1289" width="13.83203125" style="904" customWidth="1"/>
    <col min="1290" max="1536" width="9.33203125" style="904"/>
    <col min="1537" max="1537" width="6.83203125" style="904" customWidth="1"/>
    <col min="1538" max="1538" width="49.6640625" style="904" customWidth="1"/>
    <col min="1539" max="1544" width="12.83203125" style="904" customWidth="1"/>
    <col min="1545" max="1545" width="13.83203125" style="904" customWidth="1"/>
    <col min="1546" max="1792" width="9.33203125" style="904"/>
    <col min="1793" max="1793" width="6.83203125" style="904" customWidth="1"/>
    <col min="1794" max="1794" width="49.6640625" style="904" customWidth="1"/>
    <col min="1795" max="1800" width="12.83203125" style="904" customWidth="1"/>
    <col min="1801" max="1801" width="13.83203125" style="904" customWidth="1"/>
    <col min="1802" max="2048" width="9.33203125" style="904"/>
    <col min="2049" max="2049" width="6.83203125" style="904" customWidth="1"/>
    <col min="2050" max="2050" width="49.6640625" style="904" customWidth="1"/>
    <col min="2051" max="2056" width="12.83203125" style="904" customWidth="1"/>
    <col min="2057" max="2057" width="13.83203125" style="904" customWidth="1"/>
    <col min="2058" max="2304" width="9.33203125" style="904"/>
    <col min="2305" max="2305" width="6.83203125" style="904" customWidth="1"/>
    <col min="2306" max="2306" width="49.6640625" style="904" customWidth="1"/>
    <col min="2307" max="2312" width="12.83203125" style="904" customWidth="1"/>
    <col min="2313" max="2313" width="13.83203125" style="904" customWidth="1"/>
    <col min="2314" max="2560" width="9.33203125" style="904"/>
    <col min="2561" max="2561" width="6.83203125" style="904" customWidth="1"/>
    <col min="2562" max="2562" width="49.6640625" style="904" customWidth="1"/>
    <col min="2563" max="2568" width="12.83203125" style="904" customWidth="1"/>
    <col min="2569" max="2569" width="13.83203125" style="904" customWidth="1"/>
    <col min="2570" max="2816" width="9.33203125" style="904"/>
    <col min="2817" max="2817" width="6.83203125" style="904" customWidth="1"/>
    <col min="2818" max="2818" width="49.6640625" style="904" customWidth="1"/>
    <col min="2819" max="2824" width="12.83203125" style="904" customWidth="1"/>
    <col min="2825" max="2825" width="13.83203125" style="904" customWidth="1"/>
    <col min="2826" max="3072" width="9.33203125" style="904"/>
    <col min="3073" max="3073" width="6.83203125" style="904" customWidth="1"/>
    <col min="3074" max="3074" width="49.6640625" style="904" customWidth="1"/>
    <col min="3075" max="3080" width="12.83203125" style="904" customWidth="1"/>
    <col min="3081" max="3081" width="13.83203125" style="904" customWidth="1"/>
    <col min="3082" max="3328" width="9.33203125" style="904"/>
    <col min="3329" max="3329" width="6.83203125" style="904" customWidth="1"/>
    <col min="3330" max="3330" width="49.6640625" style="904" customWidth="1"/>
    <col min="3331" max="3336" width="12.83203125" style="904" customWidth="1"/>
    <col min="3337" max="3337" width="13.83203125" style="904" customWidth="1"/>
    <col min="3338" max="3584" width="9.33203125" style="904"/>
    <col min="3585" max="3585" width="6.83203125" style="904" customWidth="1"/>
    <col min="3586" max="3586" width="49.6640625" style="904" customWidth="1"/>
    <col min="3587" max="3592" width="12.83203125" style="904" customWidth="1"/>
    <col min="3593" max="3593" width="13.83203125" style="904" customWidth="1"/>
    <col min="3594" max="3840" width="9.33203125" style="904"/>
    <col min="3841" max="3841" width="6.83203125" style="904" customWidth="1"/>
    <col min="3842" max="3842" width="49.6640625" style="904" customWidth="1"/>
    <col min="3843" max="3848" width="12.83203125" style="904" customWidth="1"/>
    <col min="3849" max="3849" width="13.83203125" style="904" customWidth="1"/>
    <col min="3850" max="4096" width="9.33203125" style="904"/>
    <col min="4097" max="4097" width="6.83203125" style="904" customWidth="1"/>
    <col min="4098" max="4098" width="49.6640625" style="904" customWidth="1"/>
    <col min="4099" max="4104" width="12.83203125" style="904" customWidth="1"/>
    <col min="4105" max="4105" width="13.83203125" style="904" customWidth="1"/>
    <col min="4106" max="4352" width="9.33203125" style="904"/>
    <col min="4353" max="4353" width="6.83203125" style="904" customWidth="1"/>
    <col min="4354" max="4354" width="49.6640625" style="904" customWidth="1"/>
    <col min="4355" max="4360" width="12.83203125" style="904" customWidth="1"/>
    <col min="4361" max="4361" width="13.83203125" style="904" customWidth="1"/>
    <col min="4362" max="4608" width="9.33203125" style="904"/>
    <col min="4609" max="4609" width="6.83203125" style="904" customWidth="1"/>
    <col min="4610" max="4610" width="49.6640625" style="904" customWidth="1"/>
    <col min="4611" max="4616" width="12.83203125" style="904" customWidth="1"/>
    <col min="4617" max="4617" width="13.83203125" style="904" customWidth="1"/>
    <col min="4618" max="4864" width="9.33203125" style="904"/>
    <col min="4865" max="4865" width="6.83203125" style="904" customWidth="1"/>
    <col min="4866" max="4866" width="49.6640625" style="904" customWidth="1"/>
    <col min="4867" max="4872" width="12.83203125" style="904" customWidth="1"/>
    <col min="4873" max="4873" width="13.83203125" style="904" customWidth="1"/>
    <col min="4874" max="5120" width="9.33203125" style="904"/>
    <col min="5121" max="5121" width="6.83203125" style="904" customWidth="1"/>
    <col min="5122" max="5122" width="49.6640625" style="904" customWidth="1"/>
    <col min="5123" max="5128" width="12.83203125" style="904" customWidth="1"/>
    <col min="5129" max="5129" width="13.83203125" style="904" customWidth="1"/>
    <col min="5130" max="5376" width="9.33203125" style="904"/>
    <col min="5377" max="5377" width="6.83203125" style="904" customWidth="1"/>
    <col min="5378" max="5378" width="49.6640625" style="904" customWidth="1"/>
    <col min="5379" max="5384" width="12.83203125" style="904" customWidth="1"/>
    <col min="5385" max="5385" width="13.83203125" style="904" customWidth="1"/>
    <col min="5386" max="5632" width="9.33203125" style="904"/>
    <col min="5633" max="5633" width="6.83203125" style="904" customWidth="1"/>
    <col min="5634" max="5634" width="49.6640625" style="904" customWidth="1"/>
    <col min="5635" max="5640" width="12.83203125" style="904" customWidth="1"/>
    <col min="5641" max="5641" width="13.83203125" style="904" customWidth="1"/>
    <col min="5642" max="5888" width="9.33203125" style="904"/>
    <col min="5889" max="5889" width="6.83203125" style="904" customWidth="1"/>
    <col min="5890" max="5890" width="49.6640625" style="904" customWidth="1"/>
    <col min="5891" max="5896" width="12.83203125" style="904" customWidth="1"/>
    <col min="5897" max="5897" width="13.83203125" style="904" customWidth="1"/>
    <col min="5898" max="6144" width="9.33203125" style="904"/>
    <col min="6145" max="6145" width="6.83203125" style="904" customWidth="1"/>
    <col min="6146" max="6146" width="49.6640625" style="904" customWidth="1"/>
    <col min="6147" max="6152" width="12.83203125" style="904" customWidth="1"/>
    <col min="6153" max="6153" width="13.83203125" style="904" customWidth="1"/>
    <col min="6154" max="6400" width="9.33203125" style="904"/>
    <col min="6401" max="6401" width="6.83203125" style="904" customWidth="1"/>
    <col min="6402" max="6402" width="49.6640625" style="904" customWidth="1"/>
    <col min="6403" max="6408" width="12.83203125" style="904" customWidth="1"/>
    <col min="6409" max="6409" width="13.83203125" style="904" customWidth="1"/>
    <col min="6410" max="6656" width="9.33203125" style="904"/>
    <col min="6657" max="6657" width="6.83203125" style="904" customWidth="1"/>
    <col min="6658" max="6658" width="49.6640625" style="904" customWidth="1"/>
    <col min="6659" max="6664" width="12.83203125" style="904" customWidth="1"/>
    <col min="6665" max="6665" width="13.83203125" style="904" customWidth="1"/>
    <col min="6666" max="6912" width="9.33203125" style="904"/>
    <col min="6913" max="6913" width="6.83203125" style="904" customWidth="1"/>
    <col min="6914" max="6914" width="49.6640625" style="904" customWidth="1"/>
    <col min="6915" max="6920" width="12.83203125" style="904" customWidth="1"/>
    <col min="6921" max="6921" width="13.83203125" style="904" customWidth="1"/>
    <col min="6922" max="7168" width="9.33203125" style="904"/>
    <col min="7169" max="7169" width="6.83203125" style="904" customWidth="1"/>
    <col min="7170" max="7170" width="49.6640625" style="904" customWidth="1"/>
    <col min="7171" max="7176" width="12.83203125" style="904" customWidth="1"/>
    <col min="7177" max="7177" width="13.83203125" style="904" customWidth="1"/>
    <col min="7178" max="7424" width="9.33203125" style="904"/>
    <col min="7425" max="7425" width="6.83203125" style="904" customWidth="1"/>
    <col min="7426" max="7426" width="49.6640625" style="904" customWidth="1"/>
    <col min="7427" max="7432" width="12.83203125" style="904" customWidth="1"/>
    <col min="7433" max="7433" width="13.83203125" style="904" customWidth="1"/>
    <col min="7434" max="7680" width="9.33203125" style="904"/>
    <col min="7681" max="7681" width="6.83203125" style="904" customWidth="1"/>
    <col min="7682" max="7682" width="49.6640625" style="904" customWidth="1"/>
    <col min="7683" max="7688" width="12.83203125" style="904" customWidth="1"/>
    <col min="7689" max="7689" width="13.83203125" style="904" customWidth="1"/>
    <col min="7690" max="7936" width="9.33203125" style="904"/>
    <col min="7937" max="7937" width="6.83203125" style="904" customWidth="1"/>
    <col min="7938" max="7938" width="49.6640625" style="904" customWidth="1"/>
    <col min="7939" max="7944" width="12.83203125" style="904" customWidth="1"/>
    <col min="7945" max="7945" width="13.83203125" style="904" customWidth="1"/>
    <col min="7946" max="8192" width="9.33203125" style="904"/>
    <col min="8193" max="8193" width="6.83203125" style="904" customWidth="1"/>
    <col min="8194" max="8194" width="49.6640625" style="904" customWidth="1"/>
    <col min="8195" max="8200" width="12.83203125" style="904" customWidth="1"/>
    <col min="8201" max="8201" width="13.83203125" style="904" customWidth="1"/>
    <col min="8202" max="8448" width="9.33203125" style="904"/>
    <col min="8449" max="8449" width="6.83203125" style="904" customWidth="1"/>
    <col min="8450" max="8450" width="49.6640625" style="904" customWidth="1"/>
    <col min="8451" max="8456" width="12.83203125" style="904" customWidth="1"/>
    <col min="8457" max="8457" width="13.83203125" style="904" customWidth="1"/>
    <col min="8458" max="8704" width="9.33203125" style="904"/>
    <col min="8705" max="8705" width="6.83203125" style="904" customWidth="1"/>
    <col min="8706" max="8706" width="49.6640625" style="904" customWidth="1"/>
    <col min="8707" max="8712" width="12.83203125" style="904" customWidth="1"/>
    <col min="8713" max="8713" width="13.83203125" style="904" customWidth="1"/>
    <col min="8714" max="8960" width="9.33203125" style="904"/>
    <col min="8961" max="8961" width="6.83203125" style="904" customWidth="1"/>
    <col min="8962" max="8962" width="49.6640625" style="904" customWidth="1"/>
    <col min="8963" max="8968" width="12.83203125" style="904" customWidth="1"/>
    <col min="8969" max="8969" width="13.83203125" style="904" customWidth="1"/>
    <col min="8970" max="9216" width="9.33203125" style="904"/>
    <col min="9217" max="9217" width="6.83203125" style="904" customWidth="1"/>
    <col min="9218" max="9218" width="49.6640625" style="904" customWidth="1"/>
    <col min="9219" max="9224" width="12.83203125" style="904" customWidth="1"/>
    <col min="9225" max="9225" width="13.83203125" style="904" customWidth="1"/>
    <col min="9226" max="9472" width="9.33203125" style="904"/>
    <col min="9473" max="9473" width="6.83203125" style="904" customWidth="1"/>
    <col min="9474" max="9474" width="49.6640625" style="904" customWidth="1"/>
    <col min="9475" max="9480" width="12.83203125" style="904" customWidth="1"/>
    <col min="9481" max="9481" width="13.83203125" style="904" customWidth="1"/>
    <col min="9482" max="9728" width="9.33203125" style="904"/>
    <col min="9729" max="9729" width="6.83203125" style="904" customWidth="1"/>
    <col min="9730" max="9730" width="49.6640625" style="904" customWidth="1"/>
    <col min="9731" max="9736" width="12.83203125" style="904" customWidth="1"/>
    <col min="9737" max="9737" width="13.83203125" style="904" customWidth="1"/>
    <col min="9738" max="9984" width="9.33203125" style="904"/>
    <col min="9985" max="9985" width="6.83203125" style="904" customWidth="1"/>
    <col min="9986" max="9986" width="49.6640625" style="904" customWidth="1"/>
    <col min="9987" max="9992" width="12.83203125" style="904" customWidth="1"/>
    <col min="9993" max="9993" width="13.83203125" style="904" customWidth="1"/>
    <col min="9994" max="10240" width="9.33203125" style="904"/>
    <col min="10241" max="10241" width="6.83203125" style="904" customWidth="1"/>
    <col min="10242" max="10242" width="49.6640625" style="904" customWidth="1"/>
    <col min="10243" max="10248" width="12.83203125" style="904" customWidth="1"/>
    <col min="10249" max="10249" width="13.83203125" style="904" customWidth="1"/>
    <col min="10250" max="10496" width="9.33203125" style="904"/>
    <col min="10497" max="10497" width="6.83203125" style="904" customWidth="1"/>
    <col min="10498" max="10498" width="49.6640625" style="904" customWidth="1"/>
    <col min="10499" max="10504" width="12.83203125" style="904" customWidth="1"/>
    <col min="10505" max="10505" width="13.83203125" style="904" customWidth="1"/>
    <col min="10506" max="10752" width="9.33203125" style="904"/>
    <col min="10753" max="10753" width="6.83203125" style="904" customWidth="1"/>
    <col min="10754" max="10754" width="49.6640625" style="904" customWidth="1"/>
    <col min="10755" max="10760" width="12.83203125" style="904" customWidth="1"/>
    <col min="10761" max="10761" width="13.83203125" style="904" customWidth="1"/>
    <col min="10762" max="11008" width="9.33203125" style="904"/>
    <col min="11009" max="11009" width="6.83203125" style="904" customWidth="1"/>
    <col min="11010" max="11010" width="49.6640625" style="904" customWidth="1"/>
    <col min="11011" max="11016" width="12.83203125" style="904" customWidth="1"/>
    <col min="11017" max="11017" width="13.83203125" style="904" customWidth="1"/>
    <col min="11018" max="11264" width="9.33203125" style="904"/>
    <col min="11265" max="11265" width="6.83203125" style="904" customWidth="1"/>
    <col min="11266" max="11266" width="49.6640625" style="904" customWidth="1"/>
    <col min="11267" max="11272" width="12.83203125" style="904" customWidth="1"/>
    <col min="11273" max="11273" width="13.83203125" style="904" customWidth="1"/>
    <col min="11274" max="11520" width="9.33203125" style="904"/>
    <col min="11521" max="11521" width="6.83203125" style="904" customWidth="1"/>
    <col min="11522" max="11522" width="49.6640625" style="904" customWidth="1"/>
    <col min="11523" max="11528" width="12.83203125" style="904" customWidth="1"/>
    <col min="11529" max="11529" width="13.83203125" style="904" customWidth="1"/>
    <col min="11530" max="11776" width="9.33203125" style="904"/>
    <col min="11777" max="11777" width="6.83203125" style="904" customWidth="1"/>
    <col min="11778" max="11778" width="49.6640625" style="904" customWidth="1"/>
    <col min="11779" max="11784" width="12.83203125" style="904" customWidth="1"/>
    <col min="11785" max="11785" width="13.83203125" style="904" customWidth="1"/>
    <col min="11786" max="12032" width="9.33203125" style="904"/>
    <col min="12033" max="12033" width="6.83203125" style="904" customWidth="1"/>
    <col min="12034" max="12034" width="49.6640625" style="904" customWidth="1"/>
    <col min="12035" max="12040" width="12.83203125" style="904" customWidth="1"/>
    <col min="12041" max="12041" width="13.83203125" style="904" customWidth="1"/>
    <col min="12042" max="12288" width="9.33203125" style="904"/>
    <col min="12289" max="12289" width="6.83203125" style="904" customWidth="1"/>
    <col min="12290" max="12290" width="49.6640625" style="904" customWidth="1"/>
    <col min="12291" max="12296" width="12.83203125" style="904" customWidth="1"/>
    <col min="12297" max="12297" width="13.83203125" style="904" customWidth="1"/>
    <col min="12298" max="12544" width="9.33203125" style="904"/>
    <col min="12545" max="12545" width="6.83203125" style="904" customWidth="1"/>
    <col min="12546" max="12546" width="49.6640625" style="904" customWidth="1"/>
    <col min="12547" max="12552" width="12.83203125" style="904" customWidth="1"/>
    <col min="12553" max="12553" width="13.83203125" style="904" customWidth="1"/>
    <col min="12554" max="12800" width="9.33203125" style="904"/>
    <col min="12801" max="12801" width="6.83203125" style="904" customWidth="1"/>
    <col min="12802" max="12802" width="49.6640625" style="904" customWidth="1"/>
    <col min="12803" max="12808" width="12.83203125" style="904" customWidth="1"/>
    <col min="12809" max="12809" width="13.83203125" style="904" customWidth="1"/>
    <col min="12810" max="13056" width="9.33203125" style="904"/>
    <col min="13057" max="13057" width="6.83203125" style="904" customWidth="1"/>
    <col min="13058" max="13058" width="49.6640625" style="904" customWidth="1"/>
    <col min="13059" max="13064" width="12.83203125" style="904" customWidth="1"/>
    <col min="13065" max="13065" width="13.83203125" style="904" customWidth="1"/>
    <col min="13066" max="13312" width="9.33203125" style="904"/>
    <col min="13313" max="13313" width="6.83203125" style="904" customWidth="1"/>
    <col min="13314" max="13314" width="49.6640625" style="904" customWidth="1"/>
    <col min="13315" max="13320" width="12.83203125" style="904" customWidth="1"/>
    <col min="13321" max="13321" width="13.83203125" style="904" customWidth="1"/>
    <col min="13322" max="13568" width="9.33203125" style="904"/>
    <col min="13569" max="13569" width="6.83203125" style="904" customWidth="1"/>
    <col min="13570" max="13570" width="49.6640625" style="904" customWidth="1"/>
    <col min="13571" max="13576" width="12.83203125" style="904" customWidth="1"/>
    <col min="13577" max="13577" width="13.83203125" style="904" customWidth="1"/>
    <col min="13578" max="13824" width="9.33203125" style="904"/>
    <col min="13825" max="13825" width="6.83203125" style="904" customWidth="1"/>
    <col min="13826" max="13826" width="49.6640625" style="904" customWidth="1"/>
    <col min="13827" max="13832" width="12.83203125" style="904" customWidth="1"/>
    <col min="13833" max="13833" width="13.83203125" style="904" customWidth="1"/>
    <col min="13834" max="14080" width="9.33203125" style="904"/>
    <col min="14081" max="14081" width="6.83203125" style="904" customWidth="1"/>
    <col min="14082" max="14082" width="49.6640625" style="904" customWidth="1"/>
    <col min="14083" max="14088" width="12.83203125" style="904" customWidth="1"/>
    <col min="14089" max="14089" width="13.83203125" style="904" customWidth="1"/>
    <col min="14090" max="14336" width="9.33203125" style="904"/>
    <col min="14337" max="14337" width="6.83203125" style="904" customWidth="1"/>
    <col min="14338" max="14338" width="49.6640625" style="904" customWidth="1"/>
    <col min="14339" max="14344" width="12.83203125" style="904" customWidth="1"/>
    <col min="14345" max="14345" width="13.83203125" style="904" customWidth="1"/>
    <col min="14346" max="14592" width="9.33203125" style="904"/>
    <col min="14593" max="14593" width="6.83203125" style="904" customWidth="1"/>
    <col min="14594" max="14594" width="49.6640625" style="904" customWidth="1"/>
    <col min="14595" max="14600" width="12.83203125" style="904" customWidth="1"/>
    <col min="14601" max="14601" width="13.83203125" style="904" customWidth="1"/>
    <col min="14602" max="14848" width="9.33203125" style="904"/>
    <col min="14849" max="14849" width="6.83203125" style="904" customWidth="1"/>
    <col min="14850" max="14850" width="49.6640625" style="904" customWidth="1"/>
    <col min="14851" max="14856" width="12.83203125" style="904" customWidth="1"/>
    <col min="14857" max="14857" width="13.83203125" style="904" customWidth="1"/>
    <col min="14858" max="15104" width="9.33203125" style="904"/>
    <col min="15105" max="15105" width="6.83203125" style="904" customWidth="1"/>
    <col min="15106" max="15106" width="49.6640625" style="904" customWidth="1"/>
    <col min="15107" max="15112" width="12.83203125" style="904" customWidth="1"/>
    <col min="15113" max="15113" width="13.83203125" style="904" customWidth="1"/>
    <col min="15114" max="15360" width="9.33203125" style="904"/>
    <col min="15361" max="15361" width="6.83203125" style="904" customWidth="1"/>
    <col min="15362" max="15362" width="49.6640625" style="904" customWidth="1"/>
    <col min="15363" max="15368" width="12.83203125" style="904" customWidth="1"/>
    <col min="15369" max="15369" width="13.83203125" style="904" customWidth="1"/>
    <col min="15370" max="15616" width="9.33203125" style="904"/>
    <col min="15617" max="15617" width="6.83203125" style="904" customWidth="1"/>
    <col min="15618" max="15618" width="49.6640625" style="904" customWidth="1"/>
    <col min="15619" max="15624" width="12.83203125" style="904" customWidth="1"/>
    <col min="15625" max="15625" width="13.83203125" style="904" customWidth="1"/>
    <col min="15626" max="15872" width="9.33203125" style="904"/>
    <col min="15873" max="15873" width="6.83203125" style="904" customWidth="1"/>
    <col min="15874" max="15874" width="49.6640625" style="904" customWidth="1"/>
    <col min="15875" max="15880" width="12.83203125" style="904" customWidth="1"/>
    <col min="15881" max="15881" width="13.83203125" style="904" customWidth="1"/>
    <col min="15882" max="16128" width="9.33203125" style="904"/>
    <col min="16129" max="16129" width="6.83203125" style="904" customWidth="1"/>
    <col min="16130" max="16130" width="49.6640625" style="904" customWidth="1"/>
    <col min="16131" max="16136" width="12.83203125" style="904" customWidth="1"/>
    <col min="16137" max="16137" width="13.83203125" style="904" customWidth="1"/>
    <col min="16138" max="16384" width="9.33203125" style="904"/>
  </cols>
  <sheetData>
    <row r="1" spans="1:9" x14ac:dyDescent="0.2">
      <c r="A1" s="1499" t="str">
        <f>CONCATENATE("2. tájékoztató tábla ",ALAPADATOK!A7," ",ALAPADATOK!B7," ",ALAPADATOK!C7," ",ALAPADATOK!D7," ",ALAPADATOK!E7," ",ALAPADATOK!F7," ",ALAPADATOK!G7," ",ALAPADATOK!H7)</f>
        <v>2. tájékoztató tábla a 2 / 2021. ( II.15. ) önkormányzati rendelethez</v>
      </c>
      <c r="B1" s="1499"/>
      <c r="C1" s="1499"/>
      <c r="D1" s="1499"/>
      <c r="E1" s="1499"/>
      <c r="F1" s="1499"/>
      <c r="G1" s="1499"/>
      <c r="H1" s="1499"/>
      <c r="I1" s="1499"/>
    </row>
    <row r="2" spans="1:9" x14ac:dyDescent="0.2">
      <c r="G2" s="1508" t="s">
        <v>836</v>
      </c>
      <c r="H2" s="1508"/>
      <c r="I2" s="1508"/>
    </row>
    <row r="3" spans="1:9" ht="27.75" customHeight="1" x14ac:dyDescent="0.2">
      <c r="A3" s="1500" t="s">
        <v>8</v>
      </c>
      <c r="B3" s="1500"/>
      <c r="C3" s="1500"/>
      <c r="D3" s="1500"/>
      <c r="E3" s="1500"/>
      <c r="F3" s="1500"/>
      <c r="G3" s="1500"/>
      <c r="H3" s="1500"/>
      <c r="I3" s="1500"/>
    </row>
    <row r="4" spans="1:9" ht="20.25" customHeight="1" thickBot="1" x14ac:dyDescent="0.3">
      <c r="B4" s="234"/>
      <c r="I4" s="235" t="s">
        <v>550</v>
      </c>
    </row>
    <row r="5" spans="1:9" s="236" customFormat="1" ht="22.5" customHeight="1" x14ac:dyDescent="0.2">
      <c r="A5" s="1501" t="s">
        <v>70</v>
      </c>
      <c r="B5" s="1503" t="s">
        <v>83</v>
      </c>
      <c r="C5" s="1501" t="s">
        <v>84</v>
      </c>
      <c r="D5" s="1501" t="s">
        <v>992</v>
      </c>
      <c r="E5" s="1505" t="s">
        <v>69</v>
      </c>
      <c r="F5" s="1506"/>
      <c r="G5" s="1506"/>
      <c r="H5" s="1507"/>
      <c r="I5" s="1503" t="s">
        <v>51</v>
      </c>
    </row>
    <row r="6" spans="1:9" s="237" customFormat="1" ht="17.25" customHeight="1" thickBot="1" x14ac:dyDescent="0.25">
      <c r="A6" s="1502"/>
      <c r="B6" s="1504"/>
      <c r="C6" s="1504"/>
      <c r="D6" s="1502"/>
      <c r="E6" s="1055">
        <v>2021</v>
      </c>
      <c r="F6" s="1055">
        <v>2022</v>
      </c>
      <c r="G6" s="1055">
        <v>2023</v>
      </c>
      <c r="H6" s="1056" t="s">
        <v>993</v>
      </c>
      <c r="I6" s="1504"/>
    </row>
    <row r="7" spans="1:9" s="238" customFormat="1" ht="18" customHeight="1" thickBot="1" x14ac:dyDescent="0.25">
      <c r="A7" s="1057">
        <v>1</v>
      </c>
      <c r="B7" s="1058">
        <v>2</v>
      </c>
      <c r="C7" s="1059">
        <v>3</v>
      </c>
      <c r="D7" s="1060">
        <v>4</v>
      </c>
      <c r="E7" s="1057">
        <v>5</v>
      </c>
      <c r="F7" s="1061">
        <v>6</v>
      </c>
      <c r="G7" s="1061">
        <v>7</v>
      </c>
      <c r="H7" s="1062">
        <v>8</v>
      </c>
      <c r="I7" s="1063" t="s">
        <v>85</v>
      </c>
    </row>
    <row r="8" spans="1:9" ht="24.75" customHeight="1" thickBot="1" x14ac:dyDescent="0.25">
      <c r="A8" s="1064" t="s">
        <v>19</v>
      </c>
      <c r="B8" s="1065" t="s">
        <v>806</v>
      </c>
      <c r="C8" s="1066">
        <v>2021</v>
      </c>
      <c r="D8" s="1067">
        <v>0</v>
      </c>
      <c r="E8" s="1067">
        <v>0</v>
      </c>
      <c r="F8" s="1067">
        <v>0</v>
      </c>
      <c r="G8" s="1067">
        <v>0</v>
      </c>
      <c r="H8" s="1067">
        <v>0</v>
      </c>
      <c r="I8" s="1068">
        <v>0</v>
      </c>
    </row>
    <row r="9" spans="1:9" ht="24.75" customHeight="1" thickBot="1" x14ac:dyDescent="0.25">
      <c r="A9" s="1069" t="s">
        <v>20</v>
      </c>
      <c r="B9" s="1070" t="s">
        <v>994</v>
      </c>
      <c r="C9" s="1071">
        <v>2021</v>
      </c>
      <c r="D9" s="1072">
        <v>0</v>
      </c>
      <c r="E9" s="1072">
        <v>0</v>
      </c>
      <c r="F9" s="1072">
        <v>0</v>
      </c>
      <c r="G9" s="1072">
        <v>0</v>
      </c>
      <c r="H9" s="1072">
        <v>0</v>
      </c>
      <c r="I9" s="1068">
        <v>0</v>
      </c>
    </row>
    <row r="10" spans="1:9" ht="24" customHeight="1" thickBot="1" x14ac:dyDescent="0.25">
      <c r="A10" s="1074" t="s">
        <v>21</v>
      </c>
      <c r="B10" s="1075" t="s">
        <v>9</v>
      </c>
      <c r="C10" s="1076"/>
      <c r="D10" s="1077"/>
      <c r="E10" s="1077"/>
      <c r="F10" s="1077"/>
      <c r="G10" s="1077"/>
      <c r="H10" s="1078"/>
      <c r="I10" s="1079"/>
    </row>
    <row r="11" spans="1:9" ht="32.25" customHeight="1" x14ac:dyDescent="0.2">
      <c r="A11" s="1064" t="s">
        <v>22</v>
      </c>
      <c r="B11" s="935" t="s">
        <v>551</v>
      </c>
      <c r="C11" s="1081">
        <v>2016</v>
      </c>
      <c r="D11" s="1082">
        <v>10694590</v>
      </c>
      <c r="E11" s="1083">
        <v>0</v>
      </c>
      <c r="F11" s="1083">
        <v>0</v>
      </c>
      <c r="G11" s="1084">
        <v>0</v>
      </c>
      <c r="H11" s="1084">
        <v>0</v>
      </c>
      <c r="I11" s="1085">
        <f t="shared" ref="I11:I25" si="0">SUM(D11:H11)</f>
        <v>10694590</v>
      </c>
    </row>
    <row r="12" spans="1:9" ht="33" customHeight="1" x14ac:dyDescent="0.2">
      <c r="A12" s="1080" t="s">
        <v>23</v>
      </c>
      <c r="B12" s="935" t="s">
        <v>552</v>
      </c>
      <c r="C12" s="1081">
        <v>2016</v>
      </c>
      <c r="D12" s="1082">
        <v>4416000</v>
      </c>
      <c r="E12" s="1083">
        <v>1472000</v>
      </c>
      <c r="F12" s="1083">
        <v>1472000</v>
      </c>
      <c r="G12" s="1083">
        <v>1472000</v>
      </c>
      <c r="H12" s="1084">
        <v>1471000</v>
      </c>
      <c r="I12" s="1085">
        <f t="shared" si="0"/>
        <v>10303000</v>
      </c>
    </row>
    <row r="13" spans="1:9" ht="35.25" customHeight="1" x14ac:dyDescent="0.2">
      <c r="A13" s="1080" t="s">
        <v>24</v>
      </c>
      <c r="B13" s="935" t="s">
        <v>553</v>
      </c>
      <c r="C13" s="1081">
        <v>2016</v>
      </c>
      <c r="D13" s="1082">
        <v>3991500</v>
      </c>
      <c r="E13" s="1082">
        <v>443461</v>
      </c>
      <c r="F13" s="1082">
        <v>0</v>
      </c>
      <c r="G13" s="1082">
        <v>0</v>
      </c>
      <c r="H13" s="1082">
        <v>0</v>
      </c>
      <c r="I13" s="1085">
        <f t="shared" si="0"/>
        <v>4434961</v>
      </c>
    </row>
    <row r="14" spans="1:9" ht="30" customHeight="1" x14ac:dyDescent="0.2">
      <c r="A14" s="1080" t="s">
        <v>25</v>
      </c>
      <c r="B14" s="935" t="s">
        <v>554</v>
      </c>
      <c r="C14" s="1081">
        <v>2016</v>
      </c>
      <c r="D14" s="1082">
        <v>5008500</v>
      </c>
      <c r="E14" s="1082">
        <v>556539</v>
      </c>
      <c r="F14" s="1082">
        <v>0</v>
      </c>
      <c r="G14" s="1082">
        <v>0</v>
      </c>
      <c r="H14" s="1082">
        <v>0</v>
      </c>
      <c r="I14" s="1085">
        <f t="shared" si="0"/>
        <v>5565039</v>
      </c>
    </row>
    <row r="15" spans="1:9" ht="30" customHeight="1" x14ac:dyDescent="0.2">
      <c r="A15" s="1080" t="s">
        <v>26</v>
      </c>
      <c r="B15" s="935" t="s">
        <v>807</v>
      </c>
      <c r="C15" s="1081">
        <v>2017</v>
      </c>
      <c r="D15" s="1082">
        <v>9880000</v>
      </c>
      <c r="E15" s="1082">
        <v>4940000</v>
      </c>
      <c r="F15" s="1082">
        <v>4940000</v>
      </c>
      <c r="G15" s="1082">
        <v>4940000</v>
      </c>
      <c r="H15" s="1082">
        <v>16401155</v>
      </c>
      <c r="I15" s="1085">
        <f t="shared" si="0"/>
        <v>41101155</v>
      </c>
    </row>
    <row r="16" spans="1:9" ht="30" customHeight="1" x14ac:dyDescent="0.2">
      <c r="A16" s="1080" t="s">
        <v>27</v>
      </c>
      <c r="B16" s="935" t="s">
        <v>558</v>
      </c>
      <c r="C16" s="1081">
        <v>2017</v>
      </c>
      <c r="D16" s="1082">
        <v>2928000</v>
      </c>
      <c r="E16" s="1082">
        <v>1464000</v>
      </c>
      <c r="F16" s="1082">
        <v>1108000</v>
      </c>
      <c r="G16" s="1082">
        <v>0</v>
      </c>
      <c r="H16" s="1082">
        <v>0</v>
      </c>
      <c r="I16" s="1085">
        <f t="shared" si="0"/>
        <v>5500000</v>
      </c>
    </row>
    <row r="17" spans="1:10" ht="30" customHeight="1" x14ac:dyDescent="0.2">
      <c r="A17" s="1080" t="s">
        <v>28</v>
      </c>
      <c r="B17" s="935" t="s">
        <v>565</v>
      </c>
      <c r="C17" s="1081">
        <v>2018</v>
      </c>
      <c r="D17" s="936">
        <v>1476000</v>
      </c>
      <c r="E17" s="1083">
        <v>984000</v>
      </c>
      <c r="F17" s="1083">
        <v>741452</v>
      </c>
      <c r="G17" s="1083">
        <v>0</v>
      </c>
      <c r="H17" s="1082">
        <v>0</v>
      </c>
      <c r="I17" s="1085">
        <f t="shared" si="0"/>
        <v>3201452</v>
      </c>
    </row>
    <row r="18" spans="1:10" ht="30" customHeight="1" x14ac:dyDescent="0.2">
      <c r="A18" s="1080" t="s">
        <v>29</v>
      </c>
      <c r="B18" s="935" t="s">
        <v>660</v>
      </c>
      <c r="C18" s="1081">
        <v>2018</v>
      </c>
      <c r="D18" s="936">
        <v>1863000</v>
      </c>
      <c r="E18" s="1083">
        <v>1118946</v>
      </c>
      <c r="F18" s="1083">
        <v>0</v>
      </c>
      <c r="G18" s="1083">
        <v>0</v>
      </c>
      <c r="H18" s="1082">
        <v>0</v>
      </c>
      <c r="I18" s="1085">
        <f t="shared" si="0"/>
        <v>2981946</v>
      </c>
    </row>
    <row r="19" spans="1:10" ht="26.25" customHeight="1" x14ac:dyDescent="0.2">
      <c r="A19" s="1080" t="s">
        <v>30</v>
      </c>
      <c r="B19" s="935" t="s">
        <v>564</v>
      </c>
      <c r="C19" s="1081">
        <v>2018</v>
      </c>
      <c r="D19" s="936">
        <v>1587500</v>
      </c>
      <c r="E19" s="1083">
        <v>1270000</v>
      </c>
      <c r="F19" s="1083">
        <v>1270000</v>
      </c>
      <c r="G19" s="1083">
        <v>741242</v>
      </c>
      <c r="H19" s="1082"/>
      <c r="I19" s="1085">
        <f t="shared" si="0"/>
        <v>4868742</v>
      </c>
    </row>
    <row r="20" spans="1:10" ht="30" customHeight="1" x14ac:dyDescent="0.2">
      <c r="A20" s="1080" t="s">
        <v>31</v>
      </c>
      <c r="B20" s="935" t="s">
        <v>566</v>
      </c>
      <c r="C20" s="1081">
        <v>2018</v>
      </c>
      <c r="D20" s="936">
        <v>2502000</v>
      </c>
      <c r="E20" s="1083">
        <v>1668000</v>
      </c>
      <c r="F20" s="1083">
        <v>1668000</v>
      </c>
      <c r="G20" s="1083">
        <v>1668000</v>
      </c>
      <c r="H20" s="1082">
        <v>2389526</v>
      </c>
      <c r="I20" s="1085">
        <f t="shared" si="0"/>
        <v>9895526</v>
      </c>
    </row>
    <row r="21" spans="1:10" ht="30" customHeight="1" x14ac:dyDescent="0.2">
      <c r="A21" s="1080" t="s">
        <v>32</v>
      </c>
      <c r="B21" s="935" t="s">
        <v>567</v>
      </c>
      <c r="C21" s="1081">
        <v>2018</v>
      </c>
      <c r="D21" s="1082">
        <v>1834504</v>
      </c>
      <c r="E21" s="1082">
        <v>1834504</v>
      </c>
      <c r="F21" s="1082">
        <v>1834504</v>
      </c>
      <c r="G21" s="1083">
        <v>1834504</v>
      </c>
      <c r="H21" s="1082">
        <v>1704746</v>
      </c>
      <c r="I21" s="1085">
        <f t="shared" si="0"/>
        <v>9042762</v>
      </c>
    </row>
    <row r="22" spans="1:10" ht="30" customHeight="1" x14ac:dyDescent="0.2">
      <c r="A22" s="1080" t="s">
        <v>33</v>
      </c>
      <c r="B22" s="935" t="s">
        <v>661</v>
      </c>
      <c r="C22" s="1081">
        <v>2018</v>
      </c>
      <c r="D22" s="1082">
        <v>3171740</v>
      </c>
      <c r="E22" s="1082">
        <v>1848697</v>
      </c>
      <c r="F22" s="1082">
        <v>0</v>
      </c>
      <c r="G22" s="1083">
        <v>0</v>
      </c>
      <c r="H22" s="1082">
        <v>0</v>
      </c>
      <c r="I22" s="1085">
        <f t="shared" si="0"/>
        <v>5020437</v>
      </c>
    </row>
    <row r="23" spans="1:10" ht="20.100000000000001" customHeight="1" x14ac:dyDescent="0.2">
      <c r="A23" s="1080" t="s">
        <v>34</v>
      </c>
      <c r="B23" s="1086" t="s">
        <v>662</v>
      </c>
      <c r="C23" s="1087">
        <v>2018</v>
      </c>
      <c r="D23" s="1088">
        <v>2777600</v>
      </c>
      <c r="E23" s="1088">
        <v>2777600</v>
      </c>
      <c r="F23" s="1088">
        <v>2777600</v>
      </c>
      <c r="G23" s="1088">
        <v>2777600</v>
      </c>
      <c r="H23" s="1088">
        <v>13889600</v>
      </c>
      <c r="I23" s="1085">
        <f t="shared" si="0"/>
        <v>25000000</v>
      </c>
    </row>
    <row r="24" spans="1:10" ht="20.100000000000001" customHeight="1" x14ac:dyDescent="0.2">
      <c r="A24" s="1080" t="s">
        <v>35</v>
      </c>
      <c r="B24" s="1089" t="s">
        <v>663</v>
      </c>
      <c r="C24" s="1090">
        <v>2019</v>
      </c>
      <c r="D24" s="1091">
        <v>508000</v>
      </c>
      <c r="E24" s="1091">
        <v>1016000</v>
      </c>
      <c r="F24" s="1091">
        <v>1016000</v>
      </c>
      <c r="G24" s="1091">
        <v>1016000</v>
      </c>
      <c r="H24" s="1091">
        <v>453644</v>
      </c>
      <c r="I24" s="1085">
        <f t="shared" si="0"/>
        <v>4009644</v>
      </c>
    </row>
    <row r="25" spans="1:10" ht="24" customHeight="1" x14ac:dyDescent="0.2">
      <c r="A25" s="1080" t="s">
        <v>36</v>
      </c>
      <c r="B25" s="1092" t="s">
        <v>664</v>
      </c>
      <c r="C25" s="1081">
        <v>2019</v>
      </c>
      <c r="D25" s="1082">
        <v>900000</v>
      </c>
      <c r="E25" s="1082">
        <v>3600000</v>
      </c>
      <c r="F25" s="1082">
        <v>3600000</v>
      </c>
      <c r="G25" s="1082">
        <v>3600000</v>
      </c>
      <c r="H25" s="1082">
        <v>5609597</v>
      </c>
      <c r="I25" s="1093">
        <f t="shared" si="0"/>
        <v>17309597</v>
      </c>
    </row>
    <row r="26" spans="1:10" ht="20.100000000000001" customHeight="1" x14ac:dyDescent="0.2">
      <c r="A26" s="1080" t="s">
        <v>37</v>
      </c>
      <c r="B26" s="1335" t="s">
        <v>995</v>
      </c>
      <c r="C26" s="1081">
        <v>2020</v>
      </c>
      <c r="D26" s="1082">
        <v>0</v>
      </c>
      <c r="E26" s="1082">
        <v>0</v>
      </c>
      <c r="F26" s="1082">
        <v>2300740</v>
      </c>
      <c r="G26" s="1082">
        <v>2300740</v>
      </c>
      <c r="H26" s="1082">
        <v>6902225</v>
      </c>
      <c r="I26" s="1093">
        <f>SUM(D26:H26)</f>
        <v>11503705</v>
      </c>
      <c r="J26" s="239"/>
    </row>
    <row r="27" spans="1:10" ht="20.100000000000001" customHeight="1" thickBot="1" x14ac:dyDescent="0.25">
      <c r="A27" s="1120" t="s">
        <v>38</v>
      </c>
      <c r="B27" s="1335" t="s">
        <v>1035</v>
      </c>
      <c r="C27" s="1090">
        <v>2021</v>
      </c>
      <c r="D27" s="1091">
        <v>0</v>
      </c>
      <c r="E27" s="1091">
        <v>0</v>
      </c>
      <c r="F27" s="1091">
        <v>0</v>
      </c>
      <c r="G27" s="1091">
        <v>1568620</v>
      </c>
      <c r="H27" s="1091">
        <v>5490204</v>
      </c>
      <c r="I27" s="1073">
        <f>SUM(D27:H27)</f>
        <v>7058824</v>
      </c>
    </row>
    <row r="28" spans="1:10" ht="13.5" thickBot="1" x14ac:dyDescent="0.25">
      <c r="A28" s="1497" t="s">
        <v>52</v>
      </c>
      <c r="B28" s="1498"/>
      <c r="C28" s="1094"/>
      <c r="D28" s="1079">
        <f>SUM(D11:D27)</f>
        <v>53538934</v>
      </c>
      <c r="E28" s="1079">
        <f t="shared" ref="E28:I28" si="1">SUM(E11:E27)</f>
        <v>24993747</v>
      </c>
      <c r="F28" s="1079">
        <f t="shared" si="1"/>
        <v>22728296</v>
      </c>
      <c r="G28" s="1079">
        <f t="shared" si="1"/>
        <v>21918706</v>
      </c>
      <c r="H28" s="1079">
        <f t="shared" si="1"/>
        <v>54311697</v>
      </c>
      <c r="I28" s="1079">
        <f t="shared" si="1"/>
        <v>177491380</v>
      </c>
    </row>
    <row r="29" spans="1:10" ht="15" x14ac:dyDescent="0.25">
      <c r="B29" s="824" t="s">
        <v>996</v>
      </c>
      <c r="C29" s="683"/>
      <c r="D29" s="824"/>
      <c r="E29" s="824"/>
      <c r="F29" s="824"/>
      <c r="G29" s="824"/>
      <c r="H29" s="824"/>
    </row>
    <row r="31" spans="1:10" ht="15.75" x14ac:dyDescent="0.2">
      <c r="B31" s="465"/>
    </row>
    <row r="32" spans="1:10" ht="15.75" x14ac:dyDescent="0.2">
      <c r="B32" s="682"/>
      <c r="C32" s="684"/>
      <c r="D32" s="240"/>
      <c r="E32" s="240"/>
      <c r="F32" s="240"/>
      <c r="G32" s="240"/>
      <c r="H32" s="240"/>
    </row>
    <row r="33" spans="2:4" x14ac:dyDescent="0.2">
      <c r="B33" s="240"/>
      <c r="C33" s="685"/>
    </row>
    <row r="34" spans="2:4" x14ac:dyDescent="0.2">
      <c r="B34" s="240"/>
      <c r="C34" s="685"/>
    </row>
    <row r="35" spans="2:4" x14ac:dyDescent="0.2">
      <c r="B35" s="240"/>
      <c r="C35" s="686"/>
    </row>
    <row r="36" spans="2:4" x14ac:dyDescent="0.2">
      <c r="B36" s="1119"/>
      <c r="C36" s="685"/>
    </row>
    <row r="37" spans="2:4" x14ac:dyDescent="0.2">
      <c r="B37" s="240"/>
      <c r="C37" s="685"/>
    </row>
    <row r="38" spans="2:4" x14ac:dyDescent="0.2">
      <c r="B38" s="240"/>
      <c r="C38" s="685"/>
    </row>
    <row r="39" spans="2:4" x14ac:dyDescent="0.2">
      <c r="B39" s="240"/>
      <c r="C39" s="685"/>
    </row>
    <row r="40" spans="2:4" x14ac:dyDescent="0.2">
      <c r="B40" s="240"/>
      <c r="C40" s="685"/>
    </row>
    <row r="41" spans="2:4" x14ac:dyDescent="0.2">
      <c r="B41" s="240"/>
      <c r="C41" s="685"/>
    </row>
    <row r="42" spans="2:4" ht="17.25" customHeight="1" x14ac:dyDescent="0.2">
      <c r="B42" s="241"/>
      <c r="C42" s="686"/>
    </row>
    <row r="43" spans="2:4" x14ac:dyDescent="0.2">
      <c r="B43" s="240"/>
    </row>
    <row r="44" spans="2:4" x14ac:dyDescent="0.2">
      <c r="B44" s="242"/>
      <c r="C44" s="686"/>
    </row>
    <row r="45" spans="2:4" x14ac:dyDescent="0.2">
      <c r="C45" s="685"/>
      <c r="D45" s="905"/>
    </row>
    <row r="46" spans="2:4" x14ac:dyDescent="0.2">
      <c r="C46" s="685"/>
      <c r="D46" s="905"/>
    </row>
    <row r="47" spans="2:4" x14ac:dyDescent="0.2">
      <c r="C47" s="685"/>
      <c r="D47" s="905"/>
    </row>
    <row r="49" spans="2:4" x14ac:dyDescent="0.2">
      <c r="B49" s="242"/>
      <c r="C49" s="686"/>
    </row>
    <row r="50" spans="2:4" x14ac:dyDescent="0.2">
      <c r="D50" s="905"/>
    </row>
    <row r="51" spans="2:4" x14ac:dyDescent="0.2">
      <c r="D51" s="905"/>
    </row>
    <row r="52" spans="2:4" x14ac:dyDescent="0.2">
      <c r="D52" s="905"/>
    </row>
  </sheetData>
  <mergeCells count="10">
    <mergeCell ref="A28:B28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D12" sqref="D12"/>
    </sheetView>
  </sheetViews>
  <sheetFormatPr defaultRowHeight="12.75" x14ac:dyDescent="0.2"/>
  <cols>
    <col min="1" max="1" width="5.83203125" style="923" customWidth="1"/>
    <col min="2" max="2" width="54.83203125" style="902" customWidth="1"/>
    <col min="3" max="4" width="17.6640625" style="902" customWidth="1"/>
    <col min="5" max="16384" width="9.33203125" style="902"/>
  </cols>
  <sheetData>
    <row r="1" spans="1:9" ht="12.75" customHeight="1" x14ac:dyDescent="0.2">
      <c r="A1" s="1499" t="str">
        <f>CONCATENATE("3. tájékoztató tábla ",ALAPADATOK!A7," ",ALAPADATOK!B7," ",ALAPADATOK!C7," ",ALAPADATOK!D7," ",ALAPADATOK!E7," ",ALAPADATOK!F7," ",ALAPADATOK!G7," ",ALAPADATOK!H7)</f>
        <v>3. tájékoztató tábla a 2 / 2021. ( II.15. ) önkormányzati rendelethez</v>
      </c>
      <c r="B1" s="1499"/>
      <c r="C1" s="1499"/>
      <c r="D1" s="1499"/>
      <c r="E1" s="751"/>
      <c r="F1" s="751"/>
      <c r="G1" s="751"/>
      <c r="H1" s="751"/>
      <c r="I1" s="751"/>
    </row>
    <row r="3" spans="1:9" ht="31.5" customHeight="1" x14ac:dyDescent="0.25">
      <c r="B3" s="1509" t="s">
        <v>594</v>
      </c>
      <c r="C3" s="1509"/>
      <c r="D3" s="1509"/>
    </row>
    <row r="4" spans="1:9" s="33" customFormat="1" ht="16.5" thickBot="1" x14ac:dyDescent="0.3">
      <c r="A4" s="518"/>
      <c r="B4" s="1043" t="s">
        <v>669</v>
      </c>
      <c r="D4" s="519" t="s">
        <v>542</v>
      </c>
    </row>
    <row r="5" spans="1:9" s="922" customFormat="1" ht="48" customHeight="1" thickBot="1" x14ac:dyDescent="0.25">
      <c r="A5" s="520" t="s">
        <v>17</v>
      </c>
      <c r="B5" s="516" t="s">
        <v>18</v>
      </c>
      <c r="C5" s="516" t="s">
        <v>595</v>
      </c>
      <c r="D5" s="517" t="s">
        <v>596</v>
      </c>
    </row>
    <row r="6" spans="1:9" s="922" customFormat="1" ht="14.1" customHeight="1" thickBot="1" x14ac:dyDescent="0.25">
      <c r="A6" s="521">
        <v>1</v>
      </c>
      <c r="B6" s="74">
        <v>2</v>
      </c>
      <c r="C6" s="74">
        <v>3</v>
      </c>
      <c r="D6" s="75">
        <v>4</v>
      </c>
    </row>
    <row r="7" spans="1:9" ht="18" customHeight="1" x14ac:dyDescent="0.2">
      <c r="A7" s="522" t="s">
        <v>19</v>
      </c>
      <c r="B7" s="523" t="s">
        <v>597</v>
      </c>
      <c r="C7" s="524"/>
      <c r="D7" s="525"/>
    </row>
    <row r="8" spans="1:9" ht="18" customHeight="1" x14ac:dyDescent="0.2">
      <c r="A8" s="526" t="s">
        <v>20</v>
      </c>
      <c r="B8" s="527" t="s">
        <v>598</v>
      </c>
      <c r="C8" s="528"/>
      <c r="D8" s="1020"/>
    </row>
    <row r="9" spans="1:9" ht="18" customHeight="1" x14ac:dyDescent="0.2">
      <c r="A9" s="526" t="s">
        <v>21</v>
      </c>
      <c r="B9" s="527" t="s">
        <v>599</v>
      </c>
      <c r="C9" s="528"/>
      <c r="D9" s="1020"/>
    </row>
    <row r="10" spans="1:9" ht="18" customHeight="1" x14ac:dyDescent="0.2">
      <c r="A10" s="526" t="s">
        <v>22</v>
      </c>
      <c r="B10" s="527" t="s">
        <v>600</v>
      </c>
      <c r="C10" s="528"/>
      <c r="D10" s="1020"/>
    </row>
    <row r="11" spans="1:9" ht="18" customHeight="1" x14ac:dyDescent="0.2">
      <c r="A11" s="526" t="s">
        <v>23</v>
      </c>
      <c r="B11" s="527" t="s">
        <v>601</v>
      </c>
      <c r="C11" s="529">
        <f>SUM(C12:C17)</f>
        <v>0</v>
      </c>
      <c r="D11" s="530">
        <f>SUM(D12:D17)</f>
        <v>0</v>
      </c>
    </row>
    <row r="12" spans="1:9" ht="18" customHeight="1" x14ac:dyDescent="0.2">
      <c r="A12" s="526" t="s">
        <v>24</v>
      </c>
      <c r="B12" s="527" t="s">
        <v>602</v>
      </c>
      <c r="C12" s="528"/>
      <c r="D12" s="1020"/>
    </row>
    <row r="13" spans="1:9" ht="18" customHeight="1" x14ac:dyDescent="0.2">
      <c r="A13" s="526" t="s">
        <v>25</v>
      </c>
      <c r="B13" s="531" t="s">
        <v>603</v>
      </c>
      <c r="C13" s="528"/>
      <c r="D13" s="1020"/>
    </row>
    <row r="14" spans="1:9" ht="18" customHeight="1" x14ac:dyDescent="0.2">
      <c r="A14" s="526" t="s">
        <v>27</v>
      </c>
      <c r="B14" s="531" t="s">
        <v>604</v>
      </c>
      <c r="C14" s="528">
        <v>0</v>
      </c>
      <c r="D14" s="532"/>
    </row>
    <row r="15" spans="1:9" ht="18" customHeight="1" x14ac:dyDescent="0.2">
      <c r="A15" s="526" t="s">
        <v>28</v>
      </c>
      <c r="B15" s="531" t="s">
        <v>605</v>
      </c>
      <c r="C15" s="528"/>
      <c r="D15" s="1020"/>
    </row>
    <row r="16" spans="1:9" ht="18" customHeight="1" x14ac:dyDescent="0.2">
      <c r="A16" s="526" t="s">
        <v>29</v>
      </c>
      <c r="B16" s="531" t="s">
        <v>606</v>
      </c>
      <c r="C16" s="528"/>
      <c r="D16" s="1020"/>
    </row>
    <row r="17" spans="1:4" ht="22.5" customHeight="1" x14ac:dyDescent="0.2">
      <c r="A17" s="526" t="s">
        <v>30</v>
      </c>
      <c r="B17" s="531" t="s">
        <v>607</v>
      </c>
      <c r="C17" s="528"/>
      <c r="D17" s="1020"/>
    </row>
    <row r="18" spans="1:4" ht="18" customHeight="1" x14ac:dyDescent="0.2">
      <c r="A18" s="526" t="s">
        <v>31</v>
      </c>
      <c r="B18" s="527" t="s">
        <v>608</v>
      </c>
      <c r="C18" s="528"/>
      <c r="D18" s="1020"/>
    </row>
    <row r="19" spans="1:4" ht="18" customHeight="1" x14ac:dyDescent="0.2">
      <c r="A19" s="526" t="s">
        <v>32</v>
      </c>
      <c r="B19" s="527" t="s">
        <v>609</v>
      </c>
      <c r="C19" s="528"/>
      <c r="D19" s="1020"/>
    </row>
    <row r="20" spans="1:4" ht="18" customHeight="1" x14ac:dyDescent="0.2">
      <c r="A20" s="526" t="s">
        <v>33</v>
      </c>
      <c r="B20" s="527" t="s">
        <v>610</v>
      </c>
      <c r="C20" s="528"/>
      <c r="D20" s="1020"/>
    </row>
    <row r="21" spans="1:4" ht="18" customHeight="1" x14ac:dyDescent="0.2">
      <c r="A21" s="526" t="s">
        <v>34</v>
      </c>
      <c r="B21" s="527" t="s">
        <v>611</v>
      </c>
      <c r="C21" s="528"/>
      <c r="D21" s="1020"/>
    </row>
    <row r="22" spans="1:4" ht="18" customHeight="1" x14ac:dyDescent="0.2">
      <c r="A22" s="526" t="s">
        <v>35</v>
      </c>
      <c r="B22" s="527" t="s">
        <v>612</v>
      </c>
      <c r="C22" s="528"/>
      <c r="D22" s="1020"/>
    </row>
    <row r="23" spans="1:4" ht="18" customHeight="1" x14ac:dyDescent="0.2">
      <c r="A23" s="526" t="s">
        <v>36</v>
      </c>
      <c r="B23" s="533"/>
      <c r="C23" s="35"/>
      <c r="D23" s="1020"/>
    </row>
    <row r="24" spans="1:4" ht="18" customHeight="1" x14ac:dyDescent="0.2">
      <c r="A24" s="526" t="s">
        <v>37</v>
      </c>
      <c r="B24" s="534"/>
      <c r="C24" s="35"/>
      <c r="D24" s="1020"/>
    </row>
    <row r="25" spans="1:4" ht="18" customHeight="1" x14ac:dyDescent="0.2">
      <c r="A25" s="526" t="s">
        <v>38</v>
      </c>
      <c r="B25" s="534"/>
      <c r="C25" s="35"/>
      <c r="D25" s="1020"/>
    </row>
    <row r="26" spans="1:4" ht="18" customHeight="1" x14ac:dyDescent="0.2">
      <c r="A26" s="526" t="s">
        <v>39</v>
      </c>
      <c r="B26" s="534"/>
      <c r="C26" s="35"/>
      <c r="D26" s="1020"/>
    </row>
    <row r="27" spans="1:4" ht="18" customHeight="1" x14ac:dyDescent="0.2">
      <c r="A27" s="526" t="s">
        <v>40</v>
      </c>
      <c r="B27" s="534"/>
      <c r="C27" s="35"/>
      <c r="D27" s="1020"/>
    </row>
    <row r="28" spans="1:4" ht="18" customHeight="1" x14ac:dyDescent="0.2">
      <c r="A28" s="526" t="s">
        <v>41</v>
      </c>
      <c r="B28" s="534"/>
      <c r="C28" s="35"/>
      <c r="D28" s="1020"/>
    </row>
    <row r="29" spans="1:4" ht="18" customHeight="1" x14ac:dyDescent="0.2">
      <c r="A29" s="526" t="s">
        <v>42</v>
      </c>
      <c r="B29" s="534"/>
      <c r="C29" s="35"/>
      <c r="D29" s="1020"/>
    </row>
    <row r="30" spans="1:4" ht="18" customHeight="1" x14ac:dyDescent="0.2">
      <c r="A30" s="526" t="s">
        <v>43</v>
      </c>
      <c r="B30" s="534"/>
      <c r="C30" s="35"/>
      <c r="D30" s="1020"/>
    </row>
    <row r="31" spans="1:4" ht="18" customHeight="1" thickBot="1" x14ac:dyDescent="0.25">
      <c r="A31" s="535" t="s">
        <v>44</v>
      </c>
      <c r="B31" s="536"/>
      <c r="C31" s="537"/>
      <c r="D31" s="1021"/>
    </row>
    <row r="32" spans="1:4" ht="18" customHeight="1" thickBot="1" x14ac:dyDescent="0.25">
      <c r="A32" s="538" t="s">
        <v>45</v>
      </c>
      <c r="B32" s="539" t="s">
        <v>52</v>
      </c>
      <c r="C32" s="540">
        <f>+C7+C8+C9+C10+C11+C18+C19+C20+C21+C22+C23+C24+C25+C26+C27+C28+C29+C30+C31</f>
        <v>0</v>
      </c>
      <c r="D32" s="541">
        <f>+D7+D8+D9+D10+D11+D18+D19+D20+D21+D22+D23+D24+D25+D26+D27+D28+D29+D30+D31</f>
        <v>0</v>
      </c>
    </row>
    <row r="33" spans="1:4" ht="8.25" customHeight="1" x14ac:dyDescent="0.2">
      <c r="A33" s="1044"/>
      <c r="B33" s="1510"/>
      <c r="C33" s="1510"/>
      <c r="D33" s="1510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6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179" customWidth="1"/>
    <col min="4" max="9" width="0" style="189" hidden="1" customWidth="1"/>
    <col min="10" max="16384" width="9.33203125" style="189"/>
  </cols>
  <sheetData>
    <row r="1" spans="1:3" s="801" customFormat="1" x14ac:dyDescent="0.25">
      <c r="A1" s="1421" t="str">
        <f>CONCATENATE("1.4. melléklet"," ",ALAPADATOK!A7," ",ALAPADATOK!B7," ",ALAPADATOK!C7," ",ALAPADATOK!D7," ",ALAPADATOK!E7," ",ALAPADATOK!F7," ",ALAPADATOK!G7," ",ALAPADATOK!H7)</f>
        <v>1.4. melléklet a 2 / 2021. ( II.15. ) önkormányzati rendelethez</v>
      </c>
      <c r="B1" s="1421"/>
      <c r="C1" s="1421"/>
    </row>
    <row r="2" spans="1:3" s="961" customFormat="1" x14ac:dyDescent="0.25">
      <c r="A2" s="823"/>
      <c r="B2" s="823"/>
      <c r="C2" s="823"/>
    </row>
    <row r="3" spans="1:3" s="801" customFormat="1" x14ac:dyDescent="0.25">
      <c r="A3" s="1419" t="str">
        <f>CONCATENATE(ALAPADATOK!A3)</f>
        <v>Tiszavasvári Város Önkormányzat</v>
      </c>
      <c r="B3" s="1419"/>
      <c r="C3" s="1419"/>
    </row>
    <row r="4" spans="1:3" s="801" customFormat="1" x14ac:dyDescent="0.25">
      <c r="A4" s="1420" t="str">
        <f>CONCATENATE(ALAPADATOK!D7," ÉVI KÖLTSÉGVETÉS")</f>
        <v>2021. ÉVI KÖLTSÉGVETÉS</v>
      </c>
      <c r="B4" s="1420"/>
      <c r="C4" s="1420"/>
    </row>
    <row r="5" spans="1:3" s="801" customFormat="1" x14ac:dyDescent="0.25">
      <c r="A5" s="1420" t="s">
        <v>768</v>
      </c>
      <c r="B5" s="1420"/>
      <c r="C5" s="1420"/>
    </row>
    <row r="6" spans="1:3" s="801" customFormat="1" x14ac:dyDescent="0.25">
      <c r="A6" s="800"/>
      <c r="B6" s="800"/>
      <c r="C6" s="179"/>
    </row>
    <row r="7" spans="1:3" ht="15.95" customHeight="1" x14ac:dyDescent="0.25">
      <c r="A7" s="1423" t="s">
        <v>16</v>
      </c>
      <c r="B7" s="1423"/>
      <c r="C7" s="1423"/>
    </row>
    <row r="8" spans="1:3" ht="15.95" customHeight="1" thickBot="1" x14ac:dyDescent="0.3">
      <c r="A8" s="1422" t="s">
        <v>126</v>
      </c>
      <c r="B8" s="1422"/>
      <c r="C8" s="125" t="s">
        <v>539</v>
      </c>
    </row>
    <row r="9" spans="1:3" ht="38.1" customHeight="1" thickBot="1" x14ac:dyDescent="0.3">
      <c r="A9" s="20" t="s">
        <v>70</v>
      </c>
      <c r="B9" s="21" t="s">
        <v>18</v>
      </c>
      <c r="C9" s="29" t="s">
        <v>851</v>
      </c>
    </row>
    <row r="10" spans="1:3" s="190" customFormat="1" ht="12" customHeight="1" thickBot="1" x14ac:dyDescent="0.25">
      <c r="A10" s="184" t="s">
        <v>434</v>
      </c>
      <c r="B10" s="1047" t="s">
        <v>435</v>
      </c>
      <c r="C10" s="186" t="s">
        <v>436</v>
      </c>
    </row>
    <row r="11" spans="1:3" s="191" customFormat="1" ht="12" customHeight="1" thickBot="1" x14ac:dyDescent="0.25">
      <c r="A11" s="17" t="s">
        <v>19</v>
      </c>
      <c r="B11" s="18" t="s">
        <v>192</v>
      </c>
      <c r="C11" s="116">
        <f>+C12+C13+C14+C17+C18+C19</f>
        <v>0</v>
      </c>
    </row>
    <row r="12" spans="1:3" s="191" customFormat="1" ht="12" customHeight="1" x14ac:dyDescent="0.2">
      <c r="A12" s="12" t="s">
        <v>97</v>
      </c>
      <c r="B12" s="192" t="s">
        <v>193</v>
      </c>
      <c r="C12" s="118"/>
    </row>
    <row r="13" spans="1:3" s="191" customFormat="1" ht="12" customHeight="1" x14ac:dyDescent="0.2">
      <c r="A13" s="11" t="s">
        <v>98</v>
      </c>
      <c r="B13" s="193" t="s">
        <v>194</v>
      </c>
      <c r="C13" s="117"/>
    </row>
    <row r="14" spans="1:3" s="191" customFormat="1" ht="12" customHeight="1" x14ac:dyDescent="0.2">
      <c r="A14" s="11" t="s">
        <v>99</v>
      </c>
      <c r="B14" s="193" t="s">
        <v>820</v>
      </c>
      <c r="C14" s="117"/>
    </row>
    <row r="15" spans="1:3" s="191" customFormat="1" ht="12" customHeight="1" x14ac:dyDescent="0.2">
      <c r="A15" s="11" t="s">
        <v>818</v>
      </c>
      <c r="B15" s="193" t="s">
        <v>821</v>
      </c>
      <c r="C15" s="117"/>
    </row>
    <row r="16" spans="1:3" s="191" customFormat="1" ht="12" customHeight="1" x14ac:dyDescent="0.2">
      <c r="A16" s="11" t="s">
        <v>819</v>
      </c>
      <c r="B16" s="193" t="s">
        <v>822</v>
      </c>
      <c r="C16" s="117"/>
    </row>
    <row r="17" spans="1:3" s="191" customFormat="1" ht="12" customHeight="1" x14ac:dyDescent="0.2">
      <c r="A17" s="11" t="s">
        <v>100</v>
      </c>
      <c r="B17" s="193" t="s">
        <v>196</v>
      </c>
      <c r="C17" s="117"/>
    </row>
    <row r="18" spans="1:3" s="191" customFormat="1" ht="12" customHeight="1" x14ac:dyDescent="0.2">
      <c r="A18" s="11" t="s">
        <v>123</v>
      </c>
      <c r="B18" s="112" t="s">
        <v>437</v>
      </c>
      <c r="C18" s="117"/>
    </row>
    <row r="19" spans="1:3" s="191" customFormat="1" ht="12" customHeight="1" thickBot="1" x14ac:dyDescent="0.25">
      <c r="A19" s="13" t="s">
        <v>101</v>
      </c>
      <c r="B19" s="113" t="s">
        <v>438</v>
      </c>
      <c r="C19" s="117"/>
    </row>
    <row r="20" spans="1:3" s="191" customFormat="1" ht="12" customHeight="1" thickBot="1" x14ac:dyDescent="0.25">
      <c r="A20" s="17" t="s">
        <v>20</v>
      </c>
      <c r="B20" s="111" t="s">
        <v>197</v>
      </c>
      <c r="C20" s="116">
        <f>+C21+C22+C23+C24+C25</f>
        <v>0</v>
      </c>
    </row>
    <row r="21" spans="1:3" s="191" customFormat="1" ht="12" customHeight="1" x14ac:dyDescent="0.2">
      <c r="A21" s="12" t="s">
        <v>103</v>
      </c>
      <c r="B21" s="192" t="s">
        <v>198</v>
      </c>
      <c r="C21" s="118"/>
    </row>
    <row r="22" spans="1:3" s="191" customFormat="1" ht="12" customHeight="1" x14ac:dyDescent="0.2">
      <c r="A22" s="11" t="s">
        <v>104</v>
      </c>
      <c r="B22" s="193" t="s">
        <v>199</v>
      </c>
      <c r="C22" s="117"/>
    </row>
    <row r="23" spans="1:3" s="191" customFormat="1" ht="12" customHeight="1" x14ac:dyDescent="0.2">
      <c r="A23" s="11" t="s">
        <v>105</v>
      </c>
      <c r="B23" s="193" t="s">
        <v>367</v>
      </c>
      <c r="C23" s="117"/>
    </row>
    <row r="24" spans="1:3" s="191" customFormat="1" ht="12" customHeight="1" x14ac:dyDescent="0.2">
      <c r="A24" s="11" t="s">
        <v>106</v>
      </c>
      <c r="B24" s="193" t="s">
        <v>368</v>
      </c>
      <c r="C24" s="117"/>
    </row>
    <row r="25" spans="1:3" s="191" customFormat="1" ht="12" customHeight="1" x14ac:dyDescent="0.2">
      <c r="A25" s="11" t="s">
        <v>107</v>
      </c>
      <c r="B25" s="193" t="s">
        <v>200</v>
      </c>
      <c r="C25" s="117"/>
    </row>
    <row r="26" spans="1:3" s="191" customFormat="1" ht="12" customHeight="1" thickBot="1" x14ac:dyDescent="0.25">
      <c r="A26" s="13" t="s">
        <v>116</v>
      </c>
      <c r="B26" s="113" t="s">
        <v>201</v>
      </c>
      <c r="C26" s="119"/>
    </row>
    <row r="27" spans="1:3" s="191" customFormat="1" ht="12" customHeight="1" thickBot="1" x14ac:dyDescent="0.25">
      <c r="A27" s="17" t="s">
        <v>21</v>
      </c>
      <c r="B27" s="18" t="s">
        <v>202</v>
      </c>
      <c r="C27" s="116">
        <f>+C28+C29+C30+C31+C32</f>
        <v>0</v>
      </c>
    </row>
    <row r="28" spans="1:3" s="191" customFormat="1" ht="12" customHeight="1" x14ac:dyDescent="0.2">
      <c r="A28" s="12" t="s">
        <v>86</v>
      </c>
      <c r="B28" s="192" t="s">
        <v>203</v>
      </c>
      <c r="C28" s="118"/>
    </row>
    <row r="29" spans="1:3" s="191" customFormat="1" ht="12" customHeight="1" x14ac:dyDescent="0.2">
      <c r="A29" s="11" t="s">
        <v>87</v>
      </c>
      <c r="B29" s="193" t="s">
        <v>204</v>
      </c>
      <c r="C29" s="117"/>
    </row>
    <row r="30" spans="1:3" s="191" customFormat="1" ht="12" customHeight="1" x14ac:dyDescent="0.2">
      <c r="A30" s="11" t="s">
        <v>88</v>
      </c>
      <c r="B30" s="193" t="s">
        <v>369</v>
      </c>
      <c r="C30" s="117"/>
    </row>
    <row r="31" spans="1:3" s="191" customFormat="1" ht="12" customHeight="1" x14ac:dyDescent="0.2">
      <c r="A31" s="11" t="s">
        <v>89</v>
      </c>
      <c r="B31" s="193" t="s">
        <v>370</v>
      </c>
      <c r="C31" s="117"/>
    </row>
    <row r="32" spans="1:3" s="191" customFormat="1" ht="12" customHeight="1" x14ac:dyDescent="0.2">
      <c r="A32" s="11" t="s">
        <v>134</v>
      </c>
      <c r="B32" s="193" t="s">
        <v>205</v>
      </c>
      <c r="C32" s="117"/>
    </row>
    <row r="33" spans="1:3" s="191" customFormat="1" ht="12" customHeight="1" thickBot="1" x14ac:dyDescent="0.25">
      <c r="A33" s="13" t="s">
        <v>135</v>
      </c>
      <c r="B33" s="194" t="s">
        <v>206</v>
      </c>
      <c r="C33" s="119"/>
    </row>
    <row r="34" spans="1:3" s="191" customFormat="1" ht="12" customHeight="1" thickBot="1" x14ac:dyDescent="0.25">
      <c r="A34" s="17" t="s">
        <v>136</v>
      </c>
      <c r="B34" s="18" t="s">
        <v>207</v>
      </c>
      <c r="C34" s="121">
        <f>+C35+C39+C40</f>
        <v>0</v>
      </c>
    </row>
    <row r="35" spans="1:3" s="191" customFormat="1" ht="12" customHeight="1" x14ac:dyDescent="0.2">
      <c r="A35" s="12" t="s">
        <v>208</v>
      </c>
      <c r="B35" s="192" t="s">
        <v>626</v>
      </c>
      <c r="C35" s="187">
        <f>C36+C37</f>
        <v>0</v>
      </c>
    </row>
    <row r="36" spans="1:3" s="191" customFormat="1" ht="12" customHeight="1" x14ac:dyDescent="0.2">
      <c r="A36" s="11" t="s">
        <v>209</v>
      </c>
      <c r="B36" s="193" t="s">
        <v>214</v>
      </c>
      <c r="C36" s="117"/>
    </row>
    <row r="37" spans="1:3" s="191" customFormat="1" ht="12" customHeight="1" x14ac:dyDescent="0.2">
      <c r="A37" s="11" t="s">
        <v>210</v>
      </c>
      <c r="B37" s="250" t="s">
        <v>625</v>
      </c>
      <c r="C37" s="117"/>
    </row>
    <row r="38" spans="1:3" s="191" customFormat="1" ht="12" customHeight="1" x14ac:dyDescent="0.2">
      <c r="A38" s="11" t="s">
        <v>211</v>
      </c>
      <c r="B38" s="193" t="s">
        <v>523</v>
      </c>
      <c r="C38" s="117"/>
    </row>
    <row r="39" spans="1:3" s="191" customFormat="1" ht="12" customHeight="1" x14ac:dyDescent="0.2">
      <c r="A39" s="11" t="s">
        <v>213</v>
      </c>
      <c r="B39" s="193" t="s">
        <v>216</v>
      </c>
      <c r="C39" s="117"/>
    </row>
    <row r="40" spans="1:3" s="191" customFormat="1" ht="12" customHeight="1" thickBot="1" x14ac:dyDescent="0.25">
      <c r="A40" s="13" t="s">
        <v>525</v>
      </c>
      <c r="B40" s="194" t="s">
        <v>217</v>
      </c>
      <c r="C40" s="119"/>
    </row>
    <row r="41" spans="1:3" s="191" customFormat="1" ht="12" customHeight="1" thickBot="1" x14ac:dyDescent="0.25">
      <c r="A41" s="17" t="s">
        <v>23</v>
      </c>
      <c r="B41" s="18" t="s">
        <v>439</v>
      </c>
      <c r="C41" s="116">
        <f>SUM(C42:C52)</f>
        <v>100000</v>
      </c>
    </row>
    <row r="42" spans="1:3" s="191" customFormat="1" ht="12" customHeight="1" x14ac:dyDescent="0.2">
      <c r="A42" s="12" t="s">
        <v>90</v>
      </c>
      <c r="B42" s="192" t="s">
        <v>220</v>
      </c>
      <c r="C42" s="118"/>
    </row>
    <row r="43" spans="1:3" s="191" customFormat="1" ht="12" customHeight="1" x14ac:dyDescent="0.2">
      <c r="A43" s="11" t="s">
        <v>91</v>
      </c>
      <c r="B43" s="193" t="s">
        <v>221</v>
      </c>
      <c r="C43" s="120"/>
    </row>
    <row r="44" spans="1:3" s="191" customFormat="1" ht="12" customHeight="1" x14ac:dyDescent="0.2">
      <c r="A44" s="11" t="s">
        <v>92</v>
      </c>
      <c r="B44" s="193" t="s">
        <v>222</v>
      </c>
      <c r="C44" s="120"/>
    </row>
    <row r="45" spans="1:3" s="191" customFormat="1" ht="12" customHeight="1" x14ac:dyDescent="0.2">
      <c r="A45" s="11" t="s">
        <v>138</v>
      </c>
      <c r="B45" s="193" t="s">
        <v>223</v>
      </c>
      <c r="C45" s="120"/>
    </row>
    <row r="46" spans="1:3" s="191" customFormat="1" ht="12" customHeight="1" x14ac:dyDescent="0.2">
      <c r="A46" s="11" t="s">
        <v>139</v>
      </c>
      <c r="B46" s="193" t="s">
        <v>224</v>
      </c>
      <c r="C46" s="120"/>
    </row>
    <row r="47" spans="1:3" s="191" customFormat="1" ht="12" customHeight="1" x14ac:dyDescent="0.2">
      <c r="A47" s="11" t="s">
        <v>140</v>
      </c>
      <c r="B47" s="193" t="s">
        <v>225</v>
      </c>
      <c r="C47" s="120"/>
    </row>
    <row r="48" spans="1:3" s="191" customFormat="1" ht="12" customHeight="1" x14ac:dyDescent="0.2">
      <c r="A48" s="11" t="s">
        <v>141</v>
      </c>
      <c r="B48" s="193" t="s">
        <v>226</v>
      </c>
      <c r="C48" s="120"/>
    </row>
    <row r="49" spans="1:3" s="191" customFormat="1" ht="12" customHeight="1" x14ac:dyDescent="0.2">
      <c r="A49" s="11" t="s">
        <v>142</v>
      </c>
      <c r="B49" s="193" t="s">
        <v>528</v>
      </c>
      <c r="C49" s="120"/>
    </row>
    <row r="50" spans="1:3" s="191" customFormat="1" ht="12" customHeight="1" x14ac:dyDescent="0.2">
      <c r="A50" s="11" t="s">
        <v>218</v>
      </c>
      <c r="B50" s="193" t="s">
        <v>228</v>
      </c>
      <c r="C50" s="120"/>
    </row>
    <row r="51" spans="1:3" s="191" customFormat="1" ht="12" customHeight="1" x14ac:dyDescent="0.2">
      <c r="A51" s="13" t="s">
        <v>219</v>
      </c>
      <c r="B51" s="194" t="s">
        <v>440</v>
      </c>
      <c r="C51" s="181"/>
    </row>
    <row r="52" spans="1:3" s="191" customFormat="1" ht="12" customHeight="1" thickBot="1" x14ac:dyDescent="0.25">
      <c r="A52" s="13" t="s">
        <v>441</v>
      </c>
      <c r="B52" s="113" t="s">
        <v>229</v>
      </c>
      <c r="C52" s="181">
        <v>100000</v>
      </c>
    </row>
    <row r="53" spans="1:3" s="191" customFormat="1" ht="12" customHeight="1" thickBot="1" x14ac:dyDescent="0.25">
      <c r="A53" s="17" t="s">
        <v>24</v>
      </c>
      <c r="B53" s="18" t="s">
        <v>230</v>
      </c>
      <c r="C53" s="116">
        <f>SUM(C54:C58)</f>
        <v>0</v>
      </c>
    </row>
    <row r="54" spans="1:3" s="191" customFormat="1" ht="12" customHeight="1" x14ac:dyDescent="0.2">
      <c r="A54" s="12" t="s">
        <v>93</v>
      </c>
      <c r="B54" s="192" t="s">
        <v>234</v>
      </c>
      <c r="C54" s="230"/>
    </row>
    <row r="55" spans="1:3" s="191" customFormat="1" ht="12" customHeight="1" x14ac:dyDescent="0.2">
      <c r="A55" s="11" t="s">
        <v>94</v>
      </c>
      <c r="B55" s="193" t="s">
        <v>235</v>
      </c>
      <c r="C55" s="120"/>
    </row>
    <row r="56" spans="1:3" s="191" customFormat="1" ht="12" customHeight="1" x14ac:dyDescent="0.2">
      <c r="A56" s="11" t="s">
        <v>231</v>
      </c>
      <c r="B56" s="193" t="s">
        <v>236</v>
      </c>
      <c r="C56" s="120"/>
    </row>
    <row r="57" spans="1:3" s="191" customFormat="1" ht="12" customHeight="1" x14ac:dyDescent="0.2">
      <c r="A57" s="11" t="s">
        <v>232</v>
      </c>
      <c r="B57" s="193" t="s">
        <v>237</v>
      </c>
      <c r="C57" s="120"/>
    </row>
    <row r="58" spans="1:3" s="191" customFormat="1" ht="12" customHeight="1" thickBot="1" x14ac:dyDescent="0.25">
      <c r="A58" s="13" t="s">
        <v>233</v>
      </c>
      <c r="B58" s="113" t="s">
        <v>238</v>
      </c>
      <c r="C58" s="181"/>
    </row>
    <row r="59" spans="1:3" s="191" customFormat="1" ht="12" customHeight="1" thickBot="1" x14ac:dyDescent="0.25">
      <c r="A59" s="17" t="s">
        <v>143</v>
      </c>
      <c r="B59" s="18" t="s">
        <v>239</v>
      </c>
      <c r="C59" s="116">
        <f>SUM(C60:C62)</f>
        <v>0</v>
      </c>
    </row>
    <row r="60" spans="1:3" s="191" customFormat="1" ht="12" customHeight="1" x14ac:dyDescent="0.2">
      <c r="A60" s="12" t="s">
        <v>95</v>
      </c>
      <c r="B60" s="192" t="s">
        <v>240</v>
      </c>
      <c r="C60" s="118"/>
    </row>
    <row r="61" spans="1:3" s="191" customFormat="1" ht="12" customHeight="1" x14ac:dyDescent="0.2">
      <c r="A61" s="11" t="s">
        <v>96</v>
      </c>
      <c r="B61" s="193" t="s">
        <v>371</v>
      </c>
      <c r="C61" s="117"/>
    </row>
    <row r="62" spans="1:3" s="191" customFormat="1" ht="12" customHeight="1" x14ac:dyDescent="0.2">
      <c r="A62" s="11" t="s">
        <v>243</v>
      </c>
      <c r="B62" s="193" t="s">
        <v>241</v>
      </c>
      <c r="C62" s="117"/>
    </row>
    <row r="63" spans="1:3" s="191" customFormat="1" ht="12" customHeight="1" thickBot="1" x14ac:dyDescent="0.25">
      <c r="A63" s="13" t="s">
        <v>244</v>
      </c>
      <c r="B63" s="113" t="s">
        <v>242</v>
      </c>
      <c r="C63" s="119"/>
    </row>
    <row r="64" spans="1:3" s="191" customFormat="1" ht="12" customHeight="1" thickBot="1" x14ac:dyDescent="0.25">
      <c r="A64" s="17" t="s">
        <v>26</v>
      </c>
      <c r="B64" s="111" t="s">
        <v>245</v>
      </c>
      <c r="C64" s="116">
        <f>SUM(C65:C67)</f>
        <v>0</v>
      </c>
    </row>
    <row r="65" spans="1:3" s="191" customFormat="1" ht="12" customHeight="1" x14ac:dyDescent="0.2">
      <c r="A65" s="12" t="s">
        <v>144</v>
      </c>
      <c r="B65" s="192" t="s">
        <v>247</v>
      </c>
      <c r="C65" s="120"/>
    </row>
    <row r="66" spans="1:3" s="191" customFormat="1" ht="12" customHeight="1" x14ac:dyDescent="0.2">
      <c r="A66" s="11" t="s">
        <v>145</v>
      </c>
      <c r="B66" s="193" t="s">
        <v>372</v>
      </c>
      <c r="C66" s="120"/>
    </row>
    <row r="67" spans="1:3" s="191" customFormat="1" ht="12" customHeight="1" x14ac:dyDescent="0.2">
      <c r="A67" s="11" t="s">
        <v>171</v>
      </c>
      <c r="B67" s="193" t="s">
        <v>248</v>
      </c>
      <c r="C67" s="120"/>
    </row>
    <row r="68" spans="1:3" s="191" customFormat="1" ht="12" customHeight="1" thickBot="1" x14ac:dyDescent="0.25">
      <c r="A68" s="13" t="s">
        <v>246</v>
      </c>
      <c r="B68" s="113" t="s">
        <v>249</v>
      </c>
      <c r="C68" s="120"/>
    </row>
    <row r="69" spans="1:3" s="191" customFormat="1" ht="12" customHeight="1" thickBot="1" x14ac:dyDescent="0.25">
      <c r="A69" s="251" t="s">
        <v>442</v>
      </c>
      <c r="B69" s="18" t="s">
        <v>250</v>
      </c>
      <c r="C69" s="121">
        <f>+C11+C20+C27+C34+C41+C53+C59+C64</f>
        <v>100000</v>
      </c>
    </row>
    <row r="70" spans="1:3" s="191" customFormat="1" ht="12" customHeight="1" thickBot="1" x14ac:dyDescent="0.25">
      <c r="A70" s="252" t="s">
        <v>251</v>
      </c>
      <c r="B70" s="111" t="s">
        <v>252</v>
      </c>
      <c r="C70" s="116">
        <f>SUM(C71:C73)</f>
        <v>0</v>
      </c>
    </row>
    <row r="71" spans="1:3" s="191" customFormat="1" ht="12" customHeight="1" x14ac:dyDescent="0.2">
      <c r="A71" s="12" t="s">
        <v>283</v>
      </c>
      <c r="B71" s="192" t="s">
        <v>253</v>
      </c>
      <c r="C71" s="120"/>
    </row>
    <row r="72" spans="1:3" s="191" customFormat="1" ht="12" customHeight="1" x14ac:dyDescent="0.2">
      <c r="A72" s="11" t="s">
        <v>292</v>
      </c>
      <c r="B72" s="193" t="s">
        <v>254</v>
      </c>
      <c r="C72" s="120"/>
    </row>
    <row r="73" spans="1:3" s="191" customFormat="1" ht="12" customHeight="1" thickBot="1" x14ac:dyDescent="0.25">
      <c r="A73" s="13" t="s">
        <v>293</v>
      </c>
      <c r="B73" s="253" t="s">
        <v>443</v>
      </c>
      <c r="C73" s="120"/>
    </row>
    <row r="74" spans="1:3" s="191" customFormat="1" ht="12" customHeight="1" thickBot="1" x14ac:dyDescent="0.25">
      <c r="A74" s="252" t="s">
        <v>256</v>
      </c>
      <c r="B74" s="111" t="s">
        <v>257</v>
      </c>
      <c r="C74" s="116">
        <f>SUM(C75:C78)</f>
        <v>0</v>
      </c>
    </row>
    <row r="75" spans="1:3" s="191" customFormat="1" ht="12" customHeight="1" x14ac:dyDescent="0.2">
      <c r="A75" s="12" t="s">
        <v>124</v>
      </c>
      <c r="B75" s="192" t="s">
        <v>258</v>
      </c>
      <c r="C75" s="120"/>
    </row>
    <row r="76" spans="1:3" s="191" customFormat="1" ht="12" customHeight="1" x14ac:dyDescent="0.2">
      <c r="A76" s="11" t="s">
        <v>125</v>
      </c>
      <c r="B76" s="193" t="s">
        <v>863</v>
      </c>
      <c r="C76" s="120"/>
    </row>
    <row r="77" spans="1:3" s="191" customFormat="1" ht="12" customHeight="1" x14ac:dyDescent="0.2">
      <c r="A77" s="11" t="s">
        <v>284</v>
      </c>
      <c r="B77" s="193" t="s">
        <v>260</v>
      </c>
      <c r="C77" s="120"/>
    </row>
    <row r="78" spans="1:3" s="191" customFormat="1" ht="12" customHeight="1" thickBot="1" x14ac:dyDescent="0.25">
      <c r="A78" s="13" t="s">
        <v>285</v>
      </c>
      <c r="B78" s="113" t="s">
        <v>864</v>
      </c>
      <c r="C78" s="120"/>
    </row>
    <row r="79" spans="1:3" s="191" customFormat="1" ht="12" customHeight="1" thickBot="1" x14ac:dyDescent="0.25">
      <c r="A79" s="252" t="s">
        <v>262</v>
      </c>
      <c r="B79" s="111" t="s">
        <v>263</v>
      </c>
      <c r="C79" s="116">
        <f>SUM(C80:C81)</f>
        <v>0</v>
      </c>
    </row>
    <row r="80" spans="1:3" s="191" customFormat="1" ht="12" customHeight="1" x14ac:dyDescent="0.2">
      <c r="A80" s="12" t="s">
        <v>286</v>
      </c>
      <c r="B80" s="192" t="s">
        <v>264</v>
      </c>
      <c r="C80" s="120"/>
    </row>
    <row r="81" spans="1:3" s="191" customFormat="1" ht="12" customHeight="1" thickBot="1" x14ac:dyDescent="0.25">
      <c r="A81" s="13" t="s">
        <v>287</v>
      </c>
      <c r="B81" s="113" t="s">
        <v>265</v>
      </c>
      <c r="C81" s="120"/>
    </row>
    <row r="82" spans="1:3" s="191" customFormat="1" ht="12" customHeight="1" thickBot="1" x14ac:dyDescent="0.25">
      <c r="A82" s="252" t="s">
        <v>266</v>
      </c>
      <c r="B82" s="111" t="s">
        <v>267</v>
      </c>
      <c r="C82" s="116">
        <f>SUM(C83:C85)</f>
        <v>0</v>
      </c>
    </row>
    <row r="83" spans="1:3" s="191" customFormat="1" ht="12" customHeight="1" x14ac:dyDescent="0.2">
      <c r="A83" s="12" t="s">
        <v>288</v>
      </c>
      <c r="B83" s="192" t="s">
        <v>268</v>
      </c>
      <c r="C83" s="120"/>
    </row>
    <row r="84" spans="1:3" s="191" customFormat="1" ht="12" customHeight="1" x14ac:dyDescent="0.2">
      <c r="A84" s="11" t="s">
        <v>289</v>
      </c>
      <c r="B84" s="193" t="s">
        <v>269</v>
      </c>
      <c r="C84" s="120"/>
    </row>
    <row r="85" spans="1:3" s="191" customFormat="1" ht="12" customHeight="1" thickBot="1" x14ac:dyDescent="0.25">
      <c r="A85" s="13" t="s">
        <v>290</v>
      </c>
      <c r="B85" s="113" t="s">
        <v>865</v>
      </c>
      <c r="C85" s="120"/>
    </row>
    <row r="86" spans="1:3" s="191" customFormat="1" ht="12" customHeight="1" thickBot="1" x14ac:dyDescent="0.25">
      <c r="A86" s="252" t="s">
        <v>271</v>
      </c>
      <c r="B86" s="111" t="s">
        <v>291</v>
      </c>
      <c r="C86" s="116">
        <f>SUM(C87:C90)</f>
        <v>0</v>
      </c>
    </row>
    <row r="87" spans="1:3" s="191" customFormat="1" ht="12" customHeight="1" x14ac:dyDescent="0.2">
      <c r="A87" s="196" t="s">
        <v>272</v>
      </c>
      <c r="B87" s="192" t="s">
        <v>273</v>
      </c>
      <c r="C87" s="120"/>
    </row>
    <row r="88" spans="1:3" s="191" customFormat="1" ht="12" customHeight="1" x14ac:dyDescent="0.2">
      <c r="A88" s="197" t="s">
        <v>274</v>
      </c>
      <c r="B88" s="193" t="s">
        <v>275</v>
      </c>
      <c r="C88" s="120"/>
    </row>
    <row r="89" spans="1:3" s="191" customFormat="1" ht="12" customHeight="1" x14ac:dyDescent="0.2">
      <c r="A89" s="197" t="s">
        <v>276</v>
      </c>
      <c r="B89" s="193" t="s">
        <v>277</v>
      </c>
      <c r="C89" s="120"/>
    </row>
    <row r="90" spans="1:3" s="191" customFormat="1" ht="12" customHeight="1" thickBot="1" x14ac:dyDescent="0.25">
      <c r="A90" s="198" t="s">
        <v>278</v>
      </c>
      <c r="B90" s="113" t="s">
        <v>279</v>
      </c>
      <c r="C90" s="120"/>
    </row>
    <row r="91" spans="1:3" s="191" customFormat="1" ht="12" customHeight="1" thickBot="1" x14ac:dyDescent="0.25">
      <c r="A91" s="252" t="s">
        <v>280</v>
      </c>
      <c r="B91" s="111" t="s">
        <v>444</v>
      </c>
      <c r="C91" s="231"/>
    </row>
    <row r="92" spans="1:3" s="191" customFormat="1" ht="13.5" customHeight="1" thickBot="1" x14ac:dyDescent="0.25">
      <c r="A92" s="252" t="s">
        <v>282</v>
      </c>
      <c r="B92" s="111" t="s">
        <v>281</v>
      </c>
      <c r="C92" s="231"/>
    </row>
    <row r="93" spans="1:3" s="191" customFormat="1" ht="15.75" customHeight="1" thickBot="1" x14ac:dyDescent="0.25">
      <c r="A93" s="252" t="s">
        <v>294</v>
      </c>
      <c r="B93" s="199" t="s">
        <v>445</v>
      </c>
      <c r="C93" s="121">
        <f>+C70+C74+C79+C82+C86+C92+C91</f>
        <v>0</v>
      </c>
    </row>
    <row r="94" spans="1:3" s="191" customFormat="1" ht="16.5" customHeight="1" thickBot="1" x14ac:dyDescent="0.25">
      <c r="A94" s="254" t="s">
        <v>446</v>
      </c>
      <c r="B94" s="200" t="s">
        <v>447</v>
      </c>
      <c r="C94" s="121">
        <f>+C69+C93</f>
        <v>100000</v>
      </c>
    </row>
    <row r="95" spans="1:3" s="191" customFormat="1" ht="54" customHeight="1" x14ac:dyDescent="0.2">
      <c r="A95" s="2"/>
      <c r="B95" s="3"/>
      <c r="C95" s="122"/>
    </row>
    <row r="96" spans="1:3" ht="16.5" customHeight="1" x14ac:dyDescent="0.25">
      <c r="A96" s="1423" t="s">
        <v>47</v>
      </c>
      <c r="B96" s="1423"/>
      <c r="C96" s="1423"/>
    </row>
    <row r="97" spans="1:3" s="201" customFormat="1" ht="16.5" customHeight="1" thickBot="1" x14ac:dyDescent="0.3">
      <c r="A97" s="1424" t="s">
        <v>127</v>
      </c>
      <c r="B97" s="1424"/>
      <c r="C97" s="58" t="s">
        <v>539</v>
      </c>
    </row>
    <row r="98" spans="1:3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</row>
    <row r="99" spans="1:3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3" ht="12" customHeight="1" thickBot="1" x14ac:dyDescent="0.3">
      <c r="A100" s="19" t="s">
        <v>19</v>
      </c>
      <c r="B100" s="23" t="s">
        <v>485</v>
      </c>
      <c r="C100" s="115">
        <f>C101+C102+C103+C104+C105+C118</f>
        <v>222733167</v>
      </c>
    </row>
    <row r="101" spans="1:3" ht="12" customHeight="1" x14ac:dyDescent="0.25">
      <c r="A101" s="14" t="s">
        <v>97</v>
      </c>
      <c r="B101" s="7" t="s">
        <v>49</v>
      </c>
      <c r="C101" s="270">
        <v>158870797</v>
      </c>
    </row>
    <row r="102" spans="1:3" ht="12" customHeight="1" x14ac:dyDescent="0.25">
      <c r="A102" s="11" t="s">
        <v>98</v>
      </c>
      <c r="B102" s="5" t="s">
        <v>146</v>
      </c>
      <c r="C102" s="1029">
        <v>27952710</v>
      </c>
    </row>
    <row r="103" spans="1:3" ht="12" customHeight="1" x14ac:dyDescent="0.25">
      <c r="A103" s="11" t="s">
        <v>99</v>
      </c>
      <c r="B103" s="5" t="s">
        <v>122</v>
      </c>
      <c r="C103" s="181">
        <v>35909660</v>
      </c>
    </row>
    <row r="104" spans="1:3" ht="12" customHeight="1" x14ac:dyDescent="0.25">
      <c r="A104" s="11" t="s">
        <v>100</v>
      </c>
      <c r="B104" s="8" t="s">
        <v>147</v>
      </c>
      <c r="C104" s="181"/>
    </row>
    <row r="105" spans="1:3" ht="12" customHeight="1" x14ac:dyDescent="0.25">
      <c r="A105" s="11" t="s">
        <v>111</v>
      </c>
      <c r="B105" s="16" t="s">
        <v>148</v>
      </c>
      <c r="C105" s="1029">
        <f>SUM(C106:C117)</f>
        <v>0</v>
      </c>
    </row>
    <row r="106" spans="1:3" ht="12" customHeight="1" x14ac:dyDescent="0.25">
      <c r="A106" s="11" t="s">
        <v>101</v>
      </c>
      <c r="B106" s="5" t="s">
        <v>448</v>
      </c>
      <c r="C106" s="1031"/>
    </row>
    <row r="107" spans="1:3" ht="12" customHeight="1" x14ac:dyDescent="0.25">
      <c r="A107" s="11" t="s">
        <v>102</v>
      </c>
      <c r="B107" s="62" t="s">
        <v>449</v>
      </c>
      <c r="C107" s="1031"/>
    </row>
    <row r="108" spans="1:3" ht="12" customHeight="1" x14ac:dyDescent="0.25">
      <c r="A108" s="11" t="s">
        <v>112</v>
      </c>
      <c r="B108" s="62" t="s">
        <v>450</v>
      </c>
      <c r="C108" s="1031"/>
    </row>
    <row r="109" spans="1:3" ht="12" customHeight="1" x14ac:dyDescent="0.25">
      <c r="A109" s="11" t="s">
        <v>113</v>
      </c>
      <c r="B109" s="60" t="s">
        <v>297</v>
      </c>
      <c r="C109" s="1031"/>
    </row>
    <row r="110" spans="1:3" ht="12" customHeight="1" x14ac:dyDescent="0.25">
      <c r="A110" s="11" t="s">
        <v>114</v>
      </c>
      <c r="B110" s="61" t="s">
        <v>298</v>
      </c>
      <c r="C110" s="1031"/>
    </row>
    <row r="111" spans="1:3" ht="12" customHeight="1" x14ac:dyDescent="0.25">
      <c r="A111" s="11" t="s">
        <v>115</v>
      </c>
      <c r="B111" s="61" t="s">
        <v>299</v>
      </c>
      <c r="C111" s="1031"/>
    </row>
    <row r="112" spans="1:3" ht="12" customHeight="1" x14ac:dyDescent="0.25">
      <c r="A112" s="11" t="s">
        <v>117</v>
      </c>
      <c r="B112" s="60" t="s">
        <v>300</v>
      </c>
      <c r="C112" s="1031"/>
    </row>
    <row r="113" spans="1:3" ht="12" customHeight="1" x14ac:dyDescent="0.25">
      <c r="A113" s="11" t="s">
        <v>149</v>
      </c>
      <c r="B113" s="60" t="s">
        <v>301</v>
      </c>
      <c r="C113" s="1031"/>
    </row>
    <row r="114" spans="1:3" ht="12" customHeight="1" x14ac:dyDescent="0.25">
      <c r="A114" s="11" t="s">
        <v>295</v>
      </c>
      <c r="B114" s="61" t="s">
        <v>302</v>
      </c>
      <c r="C114" s="1031"/>
    </row>
    <row r="115" spans="1:3" ht="12" customHeight="1" x14ac:dyDescent="0.25">
      <c r="A115" s="10" t="s">
        <v>296</v>
      </c>
      <c r="B115" s="62" t="s">
        <v>303</v>
      </c>
      <c r="C115" s="1031"/>
    </row>
    <row r="116" spans="1:3" ht="12" customHeight="1" x14ac:dyDescent="0.25">
      <c r="A116" s="11" t="s">
        <v>451</v>
      </c>
      <c r="B116" s="62" t="s">
        <v>304</v>
      </c>
      <c r="C116" s="1031"/>
    </row>
    <row r="117" spans="1:3" ht="12" customHeight="1" x14ac:dyDescent="0.25">
      <c r="A117" s="13" t="s">
        <v>452</v>
      </c>
      <c r="B117" s="62" t="s">
        <v>305</v>
      </c>
      <c r="C117" s="1030"/>
    </row>
    <row r="118" spans="1:3" ht="12" customHeight="1" x14ac:dyDescent="0.25">
      <c r="A118" s="11" t="s">
        <v>453</v>
      </c>
      <c r="B118" s="8" t="s">
        <v>50</v>
      </c>
      <c r="C118" s="1029">
        <f>C119+C120</f>
        <v>0</v>
      </c>
    </row>
    <row r="119" spans="1:3" ht="12" customHeight="1" x14ac:dyDescent="0.25">
      <c r="A119" s="11" t="s">
        <v>454</v>
      </c>
      <c r="B119" s="5" t="s">
        <v>455</v>
      </c>
      <c r="C119" s="117"/>
    </row>
    <row r="120" spans="1:3" ht="12" customHeight="1" thickBot="1" x14ac:dyDescent="0.3">
      <c r="A120" s="15" t="s">
        <v>456</v>
      </c>
      <c r="B120" s="255" t="s">
        <v>457</v>
      </c>
      <c r="C120" s="123"/>
    </row>
    <row r="121" spans="1:3" ht="12" customHeight="1" thickBot="1" x14ac:dyDescent="0.3">
      <c r="A121" s="256" t="s">
        <v>20</v>
      </c>
      <c r="B121" s="257" t="s">
        <v>306</v>
      </c>
      <c r="C121" s="258">
        <f>+C122+C124+C126</f>
        <v>1977099</v>
      </c>
    </row>
    <row r="122" spans="1:3" ht="12" customHeight="1" x14ac:dyDescent="0.25">
      <c r="A122" s="12" t="s">
        <v>103</v>
      </c>
      <c r="B122" s="5" t="s">
        <v>170</v>
      </c>
      <c r="C122" s="230">
        <v>1977099</v>
      </c>
    </row>
    <row r="123" spans="1:3" ht="12" customHeight="1" x14ac:dyDescent="0.25">
      <c r="A123" s="12" t="s">
        <v>104</v>
      </c>
      <c r="B123" s="9" t="s">
        <v>310</v>
      </c>
      <c r="C123" s="230"/>
    </row>
    <row r="124" spans="1:3" ht="12" customHeight="1" x14ac:dyDescent="0.25">
      <c r="A124" s="12" t="s">
        <v>105</v>
      </c>
      <c r="B124" s="9" t="s">
        <v>150</v>
      </c>
      <c r="C124" s="1029"/>
    </row>
    <row r="125" spans="1:3" ht="12" customHeight="1" x14ac:dyDescent="0.25">
      <c r="A125" s="12" t="s">
        <v>106</v>
      </c>
      <c r="B125" s="9" t="s">
        <v>311</v>
      </c>
      <c r="C125" s="1030"/>
    </row>
    <row r="126" spans="1:3" ht="12" customHeight="1" x14ac:dyDescent="0.25">
      <c r="A126" s="12" t="s">
        <v>107</v>
      </c>
      <c r="B126" s="113" t="s">
        <v>172</v>
      </c>
      <c r="C126" s="1030">
        <f>SUM(C127:C134)</f>
        <v>0</v>
      </c>
    </row>
    <row r="127" spans="1:3" ht="12" customHeight="1" x14ac:dyDescent="0.25">
      <c r="A127" s="12" t="s">
        <v>116</v>
      </c>
      <c r="B127" s="112" t="s">
        <v>373</v>
      </c>
      <c r="C127" s="1030"/>
    </row>
    <row r="128" spans="1:3" ht="12" customHeight="1" x14ac:dyDescent="0.25">
      <c r="A128" s="12" t="s">
        <v>118</v>
      </c>
      <c r="B128" s="188" t="s">
        <v>316</v>
      </c>
      <c r="C128" s="1030"/>
    </row>
    <row r="129" spans="1:3" x14ac:dyDescent="0.25">
      <c r="A129" s="12" t="s">
        <v>151</v>
      </c>
      <c r="B129" s="61" t="s">
        <v>299</v>
      </c>
      <c r="C129" s="1030"/>
    </row>
    <row r="130" spans="1:3" ht="12" customHeight="1" x14ac:dyDescent="0.25">
      <c r="A130" s="12" t="s">
        <v>152</v>
      </c>
      <c r="B130" s="61" t="s">
        <v>315</v>
      </c>
      <c r="C130" s="1030"/>
    </row>
    <row r="131" spans="1:3" ht="12" customHeight="1" x14ac:dyDescent="0.25">
      <c r="A131" s="12" t="s">
        <v>153</v>
      </c>
      <c r="B131" s="61" t="s">
        <v>314</v>
      </c>
      <c r="C131" s="1030"/>
    </row>
    <row r="132" spans="1:3" ht="12" customHeight="1" x14ac:dyDescent="0.25">
      <c r="A132" s="12" t="s">
        <v>307</v>
      </c>
      <c r="B132" s="61" t="s">
        <v>302</v>
      </c>
      <c r="C132" s="1030"/>
    </row>
    <row r="133" spans="1:3" ht="12" customHeight="1" x14ac:dyDescent="0.25">
      <c r="A133" s="12" t="s">
        <v>308</v>
      </c>
      <c r="B133" s="61" t="s">
        <v>313</v>
      </c>
      <c r="C133" s="1030"/>
    </row>
    <row r="134" spans="1:3" ht="16.5" thickBot="1" x14ac:dyDescent="0.3">
      <c r="A134" s="10" t="s">
        <v>309</v>
      </c>
      <c r="B134" s="61" t="s">
        <v>312</v>
      </c>
      <c r="C134" s="1031"/>
    </row>
    <row r="135" spans="1:3" ht="12" customHeight="1" thickBot="1" x14ac:dyDescent="0.3">
      <c r="A135" s="17" t="s">
        <v>21</v>
      </c>
      <c r="B135" s="56" t="s">
        <v>458</v>
      </c>
      <c r="C135" s="116">
        <f>+C100+C121</f>
        <v>224710266</v>
      </c>
    </row>
    <row r="136" spans="1:3" ht="12" customHeight="1" thickBot="1" x14ac:dyDescent="0.3">
      <c r="A136" s="17" t="s">
        <v>22</v>
      </c>
      <c r="B136" s="56" t="s">
        <v>459</v>
      </c>
      <c r="C136" s="116">
        <f>+C137+C138+C139</f>
        <v>0</v>
      </c>
    </row>
    <row r="137" spans="1:3" ht="12" customHeight="1" x14ac:dyDescent="0.25">
      <c r="A137" s="12" t="s">
        <v>208</v>
      </c>
      <c r="B137" s="9" t="s">
        <v>460</v>
      </c>
      <c r="C137" s="105"/>
    </row>
    <row r="138" spans="1:3" ht="12" customHeight="1" x14ac:dyDescent="0.25">
      <c r="A138" s="12" t="s">
        <v>211</v>
      </c>
      <c r="B138" s="9" t="s">
        <v>461</v>
      </c>
      <c r="C138" s="105"/>
    </row>
    <row r="139" spans="1:3" ht="12" customHeight="1" thickBot="1" x14ac:dyDescent="0.3">
      <c r="A139" s="10" t="s">
        <v>212</v>
      </c>
      <c r="B139" s="9" t="s">
        <v>462</v>
      </c>
      <c r="C139" s="105"/>
    </row>
    <row r="140" spans="1:3" ht="12" customHeight="1" thickBot="1" x14ac:dyDescent="0.3">
      <c r="A140" s="17" t="s">
        <v>23</v>
      </c>
      <c r="B140" s="56" t="s">
        <v>463</v>
      </c>
      <c r="C140" s="116">
        <f>SUM(C141:C146)</f>
        <v>0</v>
      </c>
    </row>
    <row r="141" spans="1:3" ht="12" customHeight="1" x14ac:dyDescent="0.25">
      <c r="A141" s="12" t="s">
        <v>90</v>
      </c>
      <c r="B141" s="6" t="s">
        <v>464</v>
      </c>
      <c r="C141" s="105"/>
    </row>
    <row r="142" spans="1:3" ht="12" customHeight="1" x14ac:dyDescent="0.25">
      <c r="A142" s="12" t="s">
        <v>91</v>
      </c>
      <c r="B142" s="6" t="s">
        <v>465</v>
      </c>
      <c r="C142" s="105"/>
    </row>
    <row r="143" spans="1:3" ht="12" customHeight="1" x14ac:dyDescent="0.25">
      <c r="A143" s="12" t="s">
        <v>92</v>
      </c>
      <c r="B143" s="6" t="s">
        <v>466</v>
      </c>
      <c r="C143" s="105"/>
    </row>
    <row r="144" spans="1:3" ht="12" customHeight="1" x14ac:dyDescent="0.25">
      <c r="A144" s="12" t="s">
        <v>138</v>
      </c>
      <c r="B144" s="6" t="s">
        <v>467</v>
      </c>
      <c r="C144" s="105"/>
    </row>
    <row r="145" spans="1:6" ht="12" customHeight="1" x14ac:dyDescent="0.25">
      <c r="A145" s="12" t="s">
        <v>139</v>
      </c>
      <c r="B145" s="6" t="s">
        <v>468</v>
      </c>
      <c r="C145" s="105"/>
    </row>
    <row r="146" spans="1:6" ht="12" customHeight="1" thickBot="1" x14ac:dyDescent="0.3">
      <c r="A146" s="10" t="s">
        <v>140</v>
      </c>
      <c r="B146" s="6" t="s">
        <v>469</v>
      </c>
      <c r="C146" s="105"/>
    </row>
    <row r="147" spans="1:6" ht="12" customHeight="1" thickBot="1" x14ac:dyDescent="0.3">
      <c r="A147" s="17" t="s">
        <v>24</v>
      </c>
      <c r="B147" s="56" t="s">
        <v>470</v>
      </c>
      <c r="C147" s="121">
        <f>+C148+C149+C150+C151</f>
        <v>0</v>
      </c>
    </row>
    <row r="148" spans="1:6" ht="12" customHeight="1" x14ac:dyDescent="0.25">
      <c r="A148" s="12" t="s">
        <v>93</v>
      </c>
      <c r="B148" s="6" t="s">
        <v>317</v>
      </c>
      <c r="C148" s="105"/>
    </row>
    <row r="149" spans="1:6" ht="12" customHeight="1" x14ac:dyDescent="0.25">
      <c r="A149" s="12" t="s">
        <v>94</v>
      </c>
      <c r="B149" s="6" t="s">
        <v>318</v>
      </c>
      <c r="C149" s="105"/>
    </row>
    <row r="150" spans="1:6" ht="12" customHeight="1" x14ac:dyDescent="0.25">
      <c r="A150" s="12" t="s">
        <v>231</v>
      </c>
      <c r="B150" s="6" t="s">
        <v>471</v>
      </c>
      <c r="C150" s="105"/>
    </row>
    <row r="151" spans="1:6" ht="12" customHeight="1" thickBot="1" x14ac:dyDescent="0.3">
      <c r="A151" s="10" t="s">
        <v>232</v>
      </c>
      <c r="B151" s="4" t="s">
        <v>336</v>
      </c>
      <c r="C151" s="105"/>
    </row>
    <row r="152" spans="1:6" ht="12" customHeight="1" thickBot="1" x14ac:dyDescent="0.3">
      <c r="A152" s="17" t="s">
        <v>25</v>
      </c>
      <c r="B152" s="56" t="s">
        <v>472</v>
      </c>
      <c r="C152" s="124">
        <f>SUM(C153:C157)</f>
        <v>0</v>
      </c>
    </row>
    <row r="153" spans="1:6" ht="12" customHeight="1" x14ac:dyDescent="0.25">
      <c r="A153" s="12" t="s">
        <v>95</v>
      </c>
      <c r="B153" s="6" t="s">
        <v>473</v>
      </c>
      <c r="C153" s="105"/>
    </row>
    <row r="154" spans="1:6" ht="12" customHeight="1" x14ac:dyDescent="0.25">
      <c r="A154" s="12" t="s">
        <v>96</v>
      </c>
      <c r="B154" s="6" t="s">
        <v>474</v>
      </c>
      <c r="C154" s="105"/>
    </row>
    <row r="155" spans="1:6" ht="12" customHeight="1" x14ac:dyDescent="0.25">
      <c r="A155" s="12" t="s">
        <v>243</v>
      </c>
      <c r="B155" s="6" t="s">
        <v>475</v>
      </c>
      <c r="C155" s="105"/>
    </row>
    <row r="156" spans="1:6" ht="12" customHeight="1" x14ac:dyDescent="0.25">
      <c r="A156" s="12" t="s">
        <v>244</v>
      </c>
      <c r="B156" s="6" t="s">
        <v>476</v>
      </c>
      <c r="C156" s="105"/>
    </row>
    <row r="157" spans="1:6" ht="12" customHeight="1" thickBot="1" x14ac:dyDescent="0.3">
      <c r="A157" s="12" t="s">
        <v>477</v>
      </c>
      <c r="B157" s="6" t="s">
        <v>478</v>
      </c>
      <c r="C157" s="105"/>
    </row>
    <row r="158" spans="1:6" ht="12" customHeight="1" thickBot="1" x14ac:dyDescent="0.3">
      <c r="A158" s="17" t="s">
        <v>26</v>
      </c>
      <c r="B158" s="56" t="s">
        <v>479</v>
      </c>
      <c r="C158" s="259"/>
    </row>
    <row r="159" spans="1:6" ht="12" customHeight="1" thickBot="1" x14ac:dyDescent="0.3">
      <c r="A159" s="17" t="s">
        <v>27</v>
      </c>
      <c r="B159" s="56" t="s">
        <v>480</v>
      </c>
      <c r="C159" s="259"/>
    </row>
    <row r="160" spans="1:6" ht="15" customHeight="1" thickBot="1" x14ac:dyDescent="0.3">
      <c r="A160" s="17" t="s">
        <v>28</v>
      </c>
      <c r="B160" s="56" t="s">
        <v>481</v>
      </c>
      <c r="C160" s="202">
        <f>+C136+C140+C147+C152+C158+C159</f>
        <v>0</v>
      </c>
      <c r="D160" s="203"/>
      <c r="E160" s="203"/>
      <c r="F160" s="203"/>
    </row>
    <row r="161" spans="1:3" s="191" customFormat="1" ht="12.95" customHeight="1" thickBot="1" x14ac:dyDescent="0.25">
      <c r="A161" s="114" t="s">
        <v>29</v>
      </c>
      <c r="B161" s="177" t="s">
        <v>482</v>
      </c>
      <c r="C161" s="202">
        <f>+C135+C160</f>
        <v>224710266</v>
      </c>
    </row>
    <row r="162" spans="1:3" ht="7.5" customHeight="1" x14ac:dyDescent="0.25"/>
    <row r="163" spans="1:3" x14ac:dyDescent="0.25">
      <c r="A163" s="1420" t="s">
        <v>319</v>
      </c>
      <c r="B163" s="1420"/>
      <c r="C163" s="1420"/>
    </row>
    <row r="164" spans="1:3" ht="15" customHeight="1" thickBot="1" x14ac:dyDescent="0.3">
      <c r="A164" s="1422" t="s">
        <v>128</v>
      </c>
      <c r="B164" s="1422"/>
      <c r="C164" s="125" t="s">
        <v>539</v>
      </c>
    </row>
    <row r="165" spans="1:3" ht="13.5" customHeight="1" thickBot="1" x14ac:dyDescent="0.3">
      <c r="A165" s="17">
        <v>1</v>
      </c>
      <c r="B165" s="22" t="s">
        <v>483</v>
      </c>
      <c r="C165" s="116">
        <f>+C69-C135</f>
        <v>-224610266</v>
      </c>
    </row>
    <row r="166" spans="1:3" ht="21.75" thickBot="1" x14ac:dyDescent="0.3">
      <c r="A166" s="17" t="s">
        <v>20</v>
      </c>
      <c r="B166" s="22" t="s">
        <v>816</v>
      </c>
      <c r="C166" s="116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topLeftCell="B1" zoomScalePageLayoutView="85" workbookViewId="0">
      <selection activeCell="F13" sqref="F13"/>
    </sheetView>
  </sheetViews>
  <sheetFormatPr defaultRowHeight="15.75" x14ac:dyDescent="0.25"/>
  <cols>
    <col min="1" max="1" width="4.83203125" style="42" customWidth="1"/>
    <col min="2" max="2" width="31.1640625" style="907" customWidth="1"/>
    <col min="3" max="3" width="12.6640625" style="907" bestFit="1" customWidth="1"/>
    <col min="4" max="4" width="11.1640625" style="907" bestFit="1" customWidth="1"/>
    <col min="5" max="5" width="12.6640625" style="907" bestFit="1" customWidth="1"/>
    <col min="6" max="8" width="11.83203125" style="907" bestFit="1" customWidth="1"/>
    <col min="9" max="9" width="12.6640625" style="907" bestFit="1" customWidth="1"/>
    <col min="10" max="10" width="11.83203125" style="907" bestFit="1" customWidth="1"/>
    <col min="11" max="11" width="12.6640625" style="907" bestFit="1" customWidth="1"/>
    <col min="12" max="12" width="11.83203125" style="907" bestFit="1" customWidth="1"/>
    <col min="13" max="13" width="11.6640625" style="907" customWidth="1"/>
    <col min="14" max="14" width="11.83203125" style="907" bestFit="1" customWidth="1"/>
    <col min="15" max="15" width="12.6640625" style="488" customWidth="1"/>
    <col min="16" max="16" width="14.6640625" style="914" hidden="1" customWidth="1"/>
    <col min="17" max="17" width="16.6640625" style="914" hidden="1" customWidth="1"/>
    <col min="18" max="18" width="9.33203125" style="907" customWidth="1"/>
    <col min="19" max="16384" width="9.33203125" style="907"/>
  </cols>
  <sheetData>
    <row r="1" spans="1:17" x14ac:dyDescent="0.25">
      <c r="A1" s="1511" t="str">
        <f>CONCATENATE("4. tájékoztató tábla ",ALAPADATOK!A7," ",ALAPADATOK!B7," ",ALAPADATOK!C7," ",ALAPADATOK!D7," ",ALAPADATOK!E7," ",ALAPADATOK!F7," ",ALAPADATOK!G7," ",ALAPADATOK!H7)</f>
        <v>4. tájékoztató tábla a 2 / 2021. ( II.15. ) önkormányzati rendelethez</v>
      </c>
      <c r="B1" s="1511"/>
      <c r="C1" s="1511"/>
      <c r="D1" s="1511"/>
      <c r="E1" s="1511"/>
      <c r="F1" s="1511"/>
      <c r="G1" s="1511"/>
      <c r="H1" s="1511"/>
      <c r="I1" s="1511"/>
      <c r="J1" s="1511"/>
      <c r="K1" s="1511"/>
      <c r="L1" s="1511"/>
      <c r="M1" s="1511"/>
      <c r="N1" s="1511"/>
      <c r="O1" s="1511"/>
    </row>
    <row r="2" spans="1:17" x14ac:dyDescent="0.25">
      <c r="A2" s="1045"/>
      <c r="B2" s="1045"/>
      <c r="C2" s="1045"/>
      <c r="D2" s="1045"/>
      <c r="E2" s="1045"/>
      <c r="F2" s="1045"/>
      <c r="G2" s="1045"/>
      <c r="H2" s="1045"/>
      <c r="I2" s="1045"/>
      <c r="J2" s="1045"/>
      <c r="K2" s="1045"/>
      <c r="L2" s="1045"/>
      <c r="M2" s="1045"/>
      <c r="N2" s="1045"/>
      <c r="O2" s="1123" t="s">
        <v>836</v>
      </c>
    </row>
    <row r="3" spans="1:17" ht="36" customHeight="1" x14ac:dyDescent="0.3">
      <c r="A3" s="1512" t="s">
        <v>1005</v>
      </c>
      <c r="B3" s="1513"/>
      <c r="C3" s="1513"/>
      <c r="D3" s="1513"/>
      <c r="E3" s="1513"/>
      <c r="F3" s="1513"/>
      <c r="G3" s="1513"/>
      <c r="H3" s="1513"/>
      <c r="I3" s="1513"/>
      <c r="J3" s="1513"/>
      <c r="K3" s="1513"/>
      <c r="L3" s="1513"/>
      <c r="M3" s="1513"/>
      <c r="N3" s="1513"/>
      <c r="O3" s="1513"/>
    </row>
    <row r="4" spans="1:17" ht="16.5" thickBot="1" x14ac:dyDescent="0.3">
      <c r="O4" s="486" t="s">
        <v>540</v>
      </c>
    </row>
    <row r="5" spans="1:17" ht="35.25" customHeight="1" thickBot="1" x14ac:dyDescent="0.3">
      <c r="A5" s="359" t="s">
        <v>17</v>
      </c>
      <c r="B5" s="360" t="s">
        <v>62</v>
      </c>
      <c r="C5" s="360" t="s">
        <v>71</v>
      </c>
      <c r="D5" s="360" t="s">
        <v>72</v>
      </c>
      <c r="E5" s="360" t="s">
        <v>73</v>
      </c>
      <c r="F5" s="360" t="s">
        <v>74</v>
      </c>
      <c r="G5" s="360" t="s">
        <v>75</v>
      </c>
      <c r="H5" s="360" t="s">
        <v>76</v>
      </c>
      <c r="I5" s="360" t="s">
        <v>77</v>
      </c>
      <c r="J5" s="360" t="s">
        <v>78</v>
      </c>
      <c r="K5" s="360" t="s">
        <v>79</v>
      </c>
      <c r="L5" s="360" t="s">
        <v>80</v>
      </c>
      <c r="M5" s="360" t="s">
        <v>81</v>
      </c>
      <c r="N5" s="360" t="s">
        <v>82</v>
      </c>
      <c r="O5" s="361" t="s">
        <v>52</v>
      </c>
    </row>
    <row r="6" spans="1:17" s="44" customFormat="1" ht="15" customHeight="1" thickBot="1" x14ac:dyDescent="0.25">
      <c r="A6" s="43" t="s">
        <v>19</v>
      </c>
      <c r="B6" s="1514" t="s">
        <v>56</v>
      </c>
      <c r="C6" s="1515"/>
      <c r="D6" s="1515"/>
      <c r="E6" s="1515"/>
      <c r="F6" s="1515"/>
      <c r="G6" s="1515"/>
      <c r="H6" s="1515"/>
      <c r="I6" s="1515"/>
      <c r="J6" s="1515"/>
      <c r="K6" s="1515"/>
      <c r="L6" s="1515"/>
      <c r="M6" s="1515"/>
      <c r="N6" s="1515"/>
      <c r="O6" s="1516"/>
      <c r="P6" s="405"/>
      <c r="Q6" s="405"/>
    </row>
    <row r="7" spans="1:17" s="44" customFormat="1" ht="22.5" x14ac:dyDescent="0.2">
      <c r="A7" s="45" t="s">
        <v>20</v>
      </c>
      <c r="B7" s="232" t="s">
        <v>320</v>
      </c>
      <c r="C7" s="267">
        <v>128000000</v>
      </c>
      <c r="D7" s="267">
        <v>128000000</v>
      </c>
      <c r="E7" s="267">
        <v>128000000</v>
      </c>
      <c r="F7" s="267">
        <v>128000000</v>
      </c>
      <c r="G7" s="267">
        <v>128000000</v>
      </c>
      <c r="H7" s="267">
        <v>128000000</v>
      </c>
      <c r="I7" s="267">
        <f>128000000+70588</f>
        <v>128070588</v>
      </c>
      <c r="J7" s="267">
        <v>128000000</v>
      </c>
      <c r="K7" s="267">
        <v>128000000</v>
      </c>
      <c r="L7" s="267">
        <v>128000000</v>
      </c>
      <c r="M7" s="267">
        <v>128000000</v>
      </c>
      <c r="N7" s="267">
        <f>48966750+129648454+37137</f>
        <v>178652341</v>
      </c>
      <c r="O7" s="408">
        <f t="shared" ref="O7:O15" si="0">SUM(C7:N7)</f>
        <v>1586722929</v>
      </c>
      <c r="P7" s="406">
        <f>'1.1.sz.mell. '!C11</f>
        <v>1586722929</v>
      </c>
      <c r="Q7" s="407">
        <f t="shared" ref="Q7:Q28" si="1">O7-P7</f>
        <v>0</v>
      </c>
    </row>
    <row r="8" spans="1:17" s="48" customFormat="1" ht="22.5" x14ac:dyDescent="0.2">
      <c r="A8" s="46" t="s">
        <v>21</v>
      </c>
      <c r="B8" s="109" t="s">
        <v>364</v>
      </c>
      <c r="C8" s="248">
        <v>1080000</v>
      </c>
      <c r="D8" s="248">
        <f>3600000+30768216+400000</f>
        <v>34768216</v>
      </c>
      <c r="E8" s="248">
        <f>1800000</f>
        <v>1800000</v>
      </c>
      <c r="F8" s="248">
        <f>1080000+1800000+99799019</f>
        <v>102679019</v>
      </c>
      <c r="G8" s="248">
        <v>1800000</v>
      </c>
      <c r="H8" s="248">
        <f>131199793+1800000</f>
        <v>132999793</v>
      </c>
      <c r="I8" s="248">
        <f>1080000+1800000+50000000</f>
        <v>52880000</v>
      </c>
      <c r="J8" s="248">
        <v>1800000</v>
      </c>
      <c r="K8" s="248">
        <v>1800000</v>
      </c>
      <c r="L8" s="248">
        <f>1080000+1800000</f>
        <v>2880000</v>
      </c>
      <c r="M8" s="248">
        <f>17520150+1800000</f>
        <v>19320150</v>
      </c>
      <c r="N8" s="248">
        <v>1800000</v>
      </c>
      <c r="O8" s="408">
        <f t="shared" si="0"/>
        <v>355607178</v>
      </c>
      <c r="P8" s="409">
        <f>'1.1.sz.mell. '!C20</f>
        <v>355607178</v>
      </c>
      <c r="Q8" s="410">
        <f t="shared" si="1"/>
        <v>0</v>
      </c>
    </row>
    <row r="9" spans="1:17" s="48" customFormat="1" ht="22.5" x14ac:dyDescent="0.2">
      <c r="A9" s="46" t="s">
        <v>22</v>
      </c>
      <c r="B9" s="108" t="s">
        <v>365</v>
      </c>
      <c r="C9" s="249">
        <f>100000000</f>
        <v>100000000</v>
      </c>
      <c r="D9" s="249">
        <f>806423+1499571+100000</f>
        <v>2405994</v>
      </c>
      <c r="E9" s="249">
        <f>3482179</f>
        <v>3482179</v>
      </c>
      <c r="F9" s="249">
        <f>61929281</f>
        <v>61929281</v>
      </c>
      <c r="G9" s="249"/>
      <c r="H9" s="249"/>
      <c r="I9" s="249"/>
      <c r="J9" s="249"/>
      <c r="K9" s="249"/>
      <c r="L9" s="249"/>
      <c r="M9" s="249">
        <v>21590900</v>
      </c>
      <c r="N9" s="249"/>
      <c r="O9" s="408">
        <f t="shared" si="0"/>
        <v>189408354</v>
      </c>
      <c r="P9" s="409">
        <f>'1.1.sz.mell. '!C27</f>
        <v>189408354</v>
      </c>
      <c r="Q9" s="410">
        <f t="shared" si="1"/>
        <v>0</v>
      </c>
    </row>
    <row r="10" spans="1:17" s="48" customFormat="1" ht="14.1" customHeight="1" x14ac:dyDescent="0.2">
      <c r="A10" s="46" t="s">
        <v>23</v>
      </c>
      <c r="B10" s="107" t="s">
        <v>137</v>
      </c>
      <c r="C10" s="248">
        <v>3000000</v>
      </c>
      <c r="D10" s="248">
        <v>4000000</v>
      </c>
      <c r="E10" s="248">
        <v>130000000</v>
      </c>
      <c r="F10" s="248">
        <v>3000000</v>
      </c>
      <c r="G10" s="248">
        <v>2500000</v>
      </c>
      <c r="H10" s="248">
        <v>3000000</v>
      </c>
      <c r="I10" s="248">
        <v>3000000</v>
      </c>
      <c r="J10" s="248">
        <v>4000000</v>
      </c>
      <c r="K10" s="248">
        <v>157100000</v>
      </c>
      <c r="L10" s="248">
        <v>4000000</v>
      </c>
      <c r="M10" s="248">
        <v>5000000</v>
      </c>
      <c r="N10" s="248">
        <v>80000000</v>
      </c>
      <c r="O10" s="408">
        <f t="shared" si="0"/>
        <v>398600000</v>
      </c>
      <c r="P10" s="409">
        <f>'1.1.sz.mell. '!C34</f>
        <v>398600000</v>
      </c>
      <c r="Q10" s="410">
        <f>O10-P10</f>
        <v>0</v>
      </c>
    </row>
    <row r="11" spans="1:17" s="48" customFormat="1" ht="14.1" customHeight="1" x14ac:dyDescent="0.2">
      <c r="A11" s="46" t="s">
        <v>24</v>
      </c>
      <c r="B11" s="107" t="s">
        <v>366</v>
      </c>
      <c r="C11" s="248">
        <f>6350000+24000000</f>
        <v>30350000</v>
      </c>
      <c r="D11" s="248">
        <f>6350000+24000000</f>
        <v>30350000</v>
      </c>
      <c r="E11" s="248">
        <f>6350000+8679+24000000</f>
        <v>30358679</v>
      </c>
      <c r="F11" s="248">
        <f>6350000+24000000</f>
        <v>30350000</v>
      </c>
      <c r="G11" s="248">
        <f>6350000+24000000</f>
        <v>30350000</v>
      </c>
      <c r="H11" s="248">
        <f>6350000+24100000</f>
        <v>30450000</v>
      </c>
      <c r="I11" s="248">
        <f>6350000+24000000</f>
        <v>30350000</v>
      </c>
      <c r="J11" s="248">
        <f>6350000+24000000</f>
        <v>30350000</v>
      </c>
      <c r="K11" s="248">
        <f>6350000+24000000</f>
        <v>30350000</v>
      </c>
      <c r="L11" s="248">
        <f>6350000+24000000</f>
        <v>30350000</v>
      </c>
      <c r="M11" s="248">
        <f>6350000+24000000</f>
        <v>30350000</v>
      </c>
      <c r="N11" s="248">
        <f>6350000+24149629</f>
        <v>30499629</v>
      </c>
      <c r="O11" s="408">
        <f t="shared" si="0"/>
        <v>364458308</v>
      </c>
      <c r="P11" s="409">
        <f>'1.1.sz.mell. '!C41</f>
        <v>364458308</v>
      </c>
      <c r="Q11" s="410">
        <f t="shared" si="1"/>
        <v>0</v>
      </c>
    </row>
    <row r="12" spans="1:17" s="48" customFormat="1" ht="14.1" customHeight="1" x14ac:dyDescent="0.2">
      <c r="A12" s="46" t="s">
        <v>25</v>
      </c>
      <c r="B12" s="107" t="s">
        <v>10</v>
      </c>
      <c r="C12" s="248"/>
      <c r="D12" s="248"/>
      <c r="E12" s="248">
        <v>10000000</v>
      </c>
      <c r="F12" s="248"/>
      <c r="G12" s="248"/>
      <c r="H12" s="248">
        <v>15000000</v>
      </c>
      <c r="I12" s="248"/>
      <c r="J12" s="248"/>
      <c r="K12" s="248">
        <v>38000000</v>
      </c>
      <c r="L12" s="248"/>
      <c r="M12" s="248"/>
      <c r="N12" s="248"/>
      <c r="O12" s="408">
        <f t="shared" si="0"/>
        <v>63000000</v>
      </c>
      <c r="P12" s="409">
        <f>'1.1.sz.mell. '!C53</f>
        <v>63000000</v>
      </c>
      <c r="Q12" s="410">
        <f t="shared" si="1"/>
        <v>0</v>
      </c>
    </row>
    <row r="13" spans="1:17" s="48" customFormat="1" ht="14.1" customHeight="1" x14ac:dyDescent="0.2">
      <c r="A13" s="46" t="s">
        <v>26</v>
      </c>
      <c r="B13" s="107" t="s">
        <v>322</v>
      </c>
      <c r="C13" s="248">
        <v>100000</v>
      </c>
      <c r="D13" s="248">
        <v>100000</v>
      </c>
      <c r="E13" s="248">
        <v>100000</v>
      </c>
      <c r="F13" s="248">
        <v>100000</v>
      </c>
      <c r="G13" s="248">
        <v>100000</v>
      </c>
      <c r="H13" s="248">
        <v>100000</v>
      </c>
      <c r="I13" s="248">
        <f>100000</f>
        <v>100000</v>
      </c>
      <c r="J13" s="248">
        <v>100000</v>
      </c>
      <c r="K13" s="248">
        <v>100000</v>
      </c>
      <c r="L13" s="248">
        <v>100000</v>
      </c>
      <c r="M13" s="248">
        <v>100000</v>
      </c>
      <c r="N13" s="248">
        <v>100000</v>
      </c>
      <c r="O13" s="408">
        <f t="shared" si="0"/>
        <v>1200000</v>
      </c>
      <c r="P13" s="409">
        <f>'1.1.sz.mell. '!C59</f>
        <v>1200000</v>
      </c>
      <c r="Q13" s="410">
        <f t="shared" si="1"/>
        <v>0</v>
      </c>
    </row>
    <row r="14" spans="1:17" s="48" customFormat="1" ht="22.5" x14ac:dyDescent="0.2">
      <c r="A14" s="46" t="s">
        <v>27</v>
      </c>
      <c r="B14" s="109" t="s">
        <v>352</v>
      </c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408">
        <f t="shared" si="0"/>
        <v>0</v>
      </c>
      <c r="P14" s="409">
        <f>'1.1.sz.mell. '!C64</f>
        <v>0</v>
      </c>
      <c r="Q14" s="410">
        <f t="shared" si="1"/>
        <v>0</v>
      </c>
    </row>
    <row r="15" spans="1:17" s="48" customFormat="1" ht="14.1" customHeight="1" thickBot="1" x14ac:dyDescent="0.25">
      <c r="A15" s="46" t="s">
        <v>28</v>
      </c>
      <c r="B15" s="107" t="s">
        <v>11</v>
      </c>
      <c r="C15" s="47">
        <f>847491815+79000000+8774125</f>
        <v>935265940</v>
      </c>
      <c r="D15" s="47">
        <v>79000000</v>
      </c>
      <c r="E15" s="47">
        <v>70000000</v>
      </c>
      <c r="F15" s="47">
        <v>79000000</v>
      </c>
      <c r="G15" s="47">
        <f>11503705+81216699</f>
        <v>92720404</v>
      </c>
      <c r="H15" s="47">
        <v>79000000</v>
      </c>
      <c r="I15" s="47">
        <v>79000000</v>
      </c>
      <c r="J15" s="47">
        <v>79000000</v>
      </c>
      <c r="K15" s="47">
        <v>70000000</v>
      </c>
      <c r="L15" s="47">
        <f>50000000+7058824</f>
        <v>57058824</v>
      </c>
      <c r="M15" s="47">
        <v>70000000</v>
      </c>
      <c r="N15" s="47">
        <f>48966750+35000000</f>
        <v>83966750</v>
      </c>
      <c r="O15" s="408">
        <f t="shared" si="0"/>
        <v>1774011918</v>
      </c>
      <c r="P15" s="411">
        <f>'1.1.sz.mell. '!C93</f>
        <v>1774011918</v>
      </c>
      <c r="Q15" s="412">
        <f t="shared" si="1"/>
        <v>0</v>
      </c>
    </row>
    <row r="16" spans="1:17" s="44" customFormat="1" ht="15.95" customHeight="1" thickBot="1" x14ac:dyDescent="0.25">
      <c r="A16" s="43" t="s">
        <v>29</v>
      </c>
      <c r="B16" s="28" t="s">
        <v>108</v>
      </c>
      <c r="C16" s="49">
        <f t="shared" ref="C16:N16" si="2">SUM(C7:C15)</f>
        <v>1197795940</v>
      </c>
      <c r="D16" s="49">
        <f t="shared" si="2"/>
        <v>278624210</v>
      </c>
      <c r="E16" s="49">
        <f t="shared" si="2"/>
        <v>373740858</v>
      </c>
      <c r="F16" s="49">
        <f t="shared" si="2"/>
        <v>405058300</v>
      </c>
      <c r="G16" s="49">
        <f t="shared" si="2"/>
        <v>255470404</v>
      </c>
      <c r="H16" s="49">
        <f t="shared" si="2"/>
        <v>388549793</v>
      </c>
      <c r="I16" s="49">
        <f t="shared" si="2"/>
        <v>293400588</v>
      </c>
      <c r="J16" s="49">
        <f t="shared" si="2"/>
        <v>243250000</v>
      </c>
      <c r="K16" s="49">
        <f t="shared" si="2"/>
        <v>425350000</v>
      </c>
      <c r="L16" s="49">
        <f t="shared" si="2"/>
        <v>222388824</v>
      </c>
      <c r="M16" s="49">
        <f t="shared" si="2"/>
        <v>274361050</v>
      </c>
      <c r="N16" s="49">
        <f t="shared" si="2"/>
        <v>375018720</v>
      </c>
      <c r="O16" s="1035">
        <f>SUM(C16:N16)</f>
        <v>4733008687</v>
      </c>
      <c r="P16" s="413">
        <f>SUM(P7:P15)</f>
        <v>4733008687</v>
      </c>
      <c r="Q16" s="414">
        <f t="shared" si="1"/>
        <v>0</v>
      </c>
    </row>
    <row r="17" spans="1:17" s="44" customFormat="1" ht="15" customHeight="1" thickBot="1" x14ac:dyDescent="0.25">
      <c r="A17" s="43" t="s">
        <v>30</v>
      </c>
      <c r="B17" s="1514" t="s">
        <v>57</v>
      </c>
      <c r="C17" s="1515"/>
      <c r="D17" s="1515"/>
      <c r="E17" s="1515"/>
      <c r="F17" s="1515"/>
      <c r="G17" s="1515"/>
      <c r="H17" s="1515"/>
      <c r="I17" s="1515"/>
      <c r="J17" s="1515"/>
      <c r="K17" s="1515"/>
      <c r="L17" s="1515"/>
      <c r="M17" s="1515"/>
      <c r="N17" s="1515"/>
      <c r="O17" s="1516"/>
      <c r="P17" s="405"/>
      <c r="Q17" s="415">
        <f t="shared" si="1"/>
        <v>0</v>
      </c>
    </row>
    <row r="18" spans="1:17" s="48" customFormat="1" ht="14.1" customHeight="1" thickBot="1" x14ac:dyDescent="0.25">
      <c r="A18" s="416" t="s">
        <v>31</v>
      </c>
      <c r="B18" s="417" t="s">
        <v>63</v>
      </c>
      <c r="C18" s="418">
        <v>103326512</v>
      </c>
      <c r="D18" s="418">
        <v>105000000</v>
      </c>
      <c r="E18" s="418">
        <v>105000000</v>
      </c>
      <c r="F18" s="418">
        <v>105000000</v>
      </c>
      <c r="G18" s="418">
        <v>105000000</v>
      </c>
      <c r="H18" s="418">
        <v>105000000</v>
      </c>
      <c r="I18" s="418">
        <v>105000000</v>
      </c>
      <c r="J18" s="418">
        <v>105000000</v>
      </c>
      <c r="K18" s="418">
        <v>105000000</v>
      </c>
      <c r="L18" s="418">
        <v>105000000</v>
      </c>
      <c r="M18" s="418">
        <v>105000000</v>
      </c>
      <c r="N18" s="418">
        <v>105000000</v>
      </c>
      <c r="O18" s="408">
        <f t="shared" ref="O18:O28" si="3">SUM(C18:N18)</f>
        <v>1258326512</v>
      </c>
      <c r="P18" s="490">
        <f>'1.1.sz.mell. '!C101</f>
        <v>1258326512</v>
      </c>
      <c r="Q18" s="407">
        <f t="shared" si="1"/>
        <v>0</v>
      </c>
    </row>
    <row r="19" spans="1:17" s="48" customFormat="1" ht="27" customHeight="1" thickBot="1" x14ac:dyDescent="0.25">
      <c r="A19" s="46" t="s">
        <v>32</v>
      </c>
      <c r="B19" s="109" t="s">
        <v>146</v>
      </c>
      <c r="C19" s="248">
        <v>17518047</v>
      </c>
      <c r="D19" s="248">
        <v>18000000</v>
      </c>
      <c r="E19" s="248">
        <v>18000000</v>
      </c>
      <c r="F19" s="248">
        <v>18000000</v>
      </c>
      <c r="G19" s="248">
        <v>18000000</v>
      </c>
      <c r="H19" s="248">
        <v>18000000</v>
      </c>
      <c r="I19" s="248">
        <v>18000000</v>
      </c>
      <c r="J19" s="248">
        <v>18000000</v>
      </c>
      <c r="K19" s="248">
        <v>18000000</v>
      </c>
      <c r="L19" s="248">
        <v>18000000</v>
      </c>
      <c r="M19" s="248">
        <v>18000000</v>
      </c>
      <c r="N19" s="248">
        <v>18000000</v>
      </c>
      <c r="O19" s="408">
        <f t="shared" si="3"/>
        <v>215518047</v>
      </c>
      <c r="P19" s="490">
        <f>'1.1.sz.mell. '!C102</f>
        <v>215518047</v>
      </c>
      <c r="Q19" s="410">
        <f t="shared" si="1"/>
        <v>0</v>
      </c>
    </row>
    <row r="20" spans="1:17" s="48" customFormat="1" ht="14.1" customHeight="1" thickBot="1" x14ac:dyDescent="0.25">
      <c r="A20" s="46" t="s">
        <v>33</v>
      </c>
      <c r="B20" s="107" t="s">
        <v>122</v>
      </c>
      <c r="C20" s="248">
        <v>78167039</v>
      </c>
      <c r="D20" s="248">
        <v>82500000</v>
      </c>
      <c r="E20" s="248">
        <v>82500000</v>
      </c>
      <c r="F20" s="248">
        <v>82500000</v>
      </c>
      <c r="G20" s="248">
        <v>82500000</v>
      </c>
      <c r="H20" s="248">
        <v>82500000</v>
      </c>
      <c r="I20" s="248">
        <f>82500000+70588</f>
        <v>82570588</v>
      </c>
      <c r="J20" s="248">
        <v>82500000</v>
      </c>
      <c r="K20" s="248">
        <v>82500000</v>
      </c>
      <c r="L20" s="248">
        <v>82500000</v>
      </c>
      <c r="M20" s="248">
        <v>82500000</v>
      </c>
      <c r="N20" s="248">
        <f>82500000+37137</f>
        <v>82537137</v>
      </c>
      <c r="O20" s="408">
        <f t="shared" si="3"/>
        <v>985774764</v>
      </c>
      <c r="P20" s="490">
        <f>'1.1.sz.mell. '!C103</f>
        <v>985774764</v>
      </c>
      <c r="Q20" s="410">
        <f t="shared" si="1"/>
        <v>0</v>
      </c>
    </row>
    <row r="21" spans="1:17" s="48" customFormat="1" ht="14.1" customHeight="1" x14ac:dyDescent="0.2">
      <c r="A21" s="46" t="s">
        <v>34</v>
      </c>
      <c r="B21" s="107" t="s">
        <v>147</v>
      </c>
      <c r="C21" s="248">
        <v>3300000</v>
      </c>
      <c r="D21" s="248">
        <v>3320000</v>
      </c>
      <c r="E21" s="248">
        <v>3320000</v>
      </c>
      <c r="F21" s="248">
        <v>3320000</v>
      </c>
      <c r="G21" s="248">
        <v>3320000</v>
      </c>
      <c r="H21" s="248">
        <v>3320000</v>
      </c>
      <c r="I21" s="248">
        <v>3320000</v>
      </c>
      <c r="J21" s="248">
        <v>3320000</v>
      </c>
      <c r="K21" s="248">
        <v>3320000</v>
      </c>
      <c r="L21" s="248">
        <v>3320000</v>
      </c>
      <c r="M21" s="248">
        <v>3320000</v>
      </c>
      <c r="N21" s="248">
        <v>20000000</v>
      </c>
      <c r="O21" s="408">
        <f t="shared" si="3"/>
        <v>56500000</v>
      </c>
      <c r="P21" s="490">
        <f>'1.1.sz.mell. '!C104</f>
        <v>56500000</v>
      </c>
      <c r="Q21" s="410">
        <f t="shared" si="1"/>
        <v>0</v>
      </c>
    </row>
    <row r="22" spans="1:17" s="48" customFormat="1" ht="14.1" customHeight="1" x14ac:dyDescent="0.2">
      <c r="A22" s="46" t="s">
        <v>35</v>
      </c>
      <c r="B22" s="107" t="s">
        <v>12</v>
      </c>
      <c r="C22" s="248">
        <v>18000000</v>
      </c>
      <c r="D22" s="248">
        <v>18000000</v>
      </c>
      <c r="E22" s="248">
        <v>18000000</v>
      </c>
      <c r="F22" s="248">
        <v>18000000</v>
      </c>
      <c r="G22" s="248">
        <v>18000000</v>
      </c>
      <c r="H22" s="248">
        <v>18000000</v>
      </c>
      <c r="I22" s="248">
        <v>15150000</v>
      </c>
      <c r="J22" s="248">
        <v>15150000</v>
      </c>
      <c r="K22" s="248">
        <v>15150000</v>
      </c>
      <c r="L22" s="248">
        <v>15150000</v>
      </c>
      <c r="M22" s="248">
        <v>15150000</v>
      </c>
      <c r="N22" s="248">
        <v>15184698</v>
      </c>
      <c r="O22" s="408">
        <f t="shared" si="3"/>
        <v>198934698</v>
      </c>
      <c r="P22" s="409">
        <f>'1.1.sz.mell. '!C105</f>
        <v>198934698</v>
      </c>
      <c r="Q22" s="410">
        <f t="shared" si="1"/>
        <v>0</v>
      </c>
    </row>
    <row r="23" spans="1:17" s="48" customFormat="1" ht="14.1" customHeight="1" x14ac:dyDescent="0.2">
      <c r="A23" s="46" t="s">
        <v>36</v>
      </c>
      <c r="B23" s="107" t="s">
        <v>170</v>
      </c>
      <c r="C23" s="248">
        <v>1000000</v>
      </c>
      <c r="D23" s="248"/>
      <c r="E23" s="248"/>
      <c r="F23" s="248"/>
      <c r="G23" s="248"/>
      <c r="H23" s="248">
        <v>42955826</v>
      </c>
      <c r="I23" s="248"/>
      <c r="J23" s="248">
        <v>80000000</v>
      </c>
      <c r="K23" s="248">
        <v>48583956</v>
      </c>
      <c r="L23" s="248">
        <v>80000000</v>
      </c>
      <c r="M23" s="248"/>
      <c r="N23" s="248">
        <v>360000000</v>
      </c>
      <c r="O23" s="408">
        <f t="shared" si="3"/>
        <v>612539782</v>
      </c>
      <c r="P23" s="409">
        <f>'1.1.sz.mell. '!C122</f>
        <v>612539782</v>
      </c>
      <c r="Q23" s="410">
        <f t="shared" si="1"/>
        <v>0</v>
      </c>
    </row>
    <row r="24" spans="1:17" s="48" customFormat="1" x14ac:dyDescent="0.2">
      <c r="A24" s="46" t="s">
        <v>37</v>
      </c>
      <c r="B24" s="109" t="s">
        <v>150</v>
      </c>
      <c r="C24" s="248"/>
      <c r="D24" s="248">
        <f>2540000+2813609</f>
        <v>5353609</v>
      </c>
      <c r="E24" s="248"/>
      <c r="F24" s="248">
        <v>46014821</v>
      </c>
      <c r="G24" s="248">
        <f>52500000+6350000+6397000</f>
        <v>65247000</v>
      </c>
      <c r="H24" s="248">
        <f>52500000+2540000+2475762</f>
        <v>57515762</v>
      </c>
      <c r="I24" s="248">
        <f>80032238+52500000</f>
        <v>132532238</v>
      </c>
      <c r="J24" s="248">
        <v>52500000</v>
      </c>
      <c r="K24" s="248"/>
      <c r="L24" s="248"/>
      <c r="M24" s="248"/>
      <c r="N24" s="248"/>
      <c r="O24" s="408">
        <f t="shared" si="3"/>
        <v>359163430</v>
      </c>
      <c r="P24" s="409">
        <f>'1.1.sz.mell. '!C124</f>
        <v>359163430</v>
      </c>
      <c r="Q24" s="410">
        <f t="shared" si="1"/>
        <v>0</v>
      </c>
    </row>
    <row r="25" spans="1:17" s="48" customFormat="1" ht="14.1" customHeight="1" x14ac:dyDescent="0.2">
      <c r="A25" s="46" t="s">
        <v>38</v>
      </c>
      <c r="B25" s="107" t="s">
        <v>172</v>
      </c>
      <c r="C25" s="248"/>
      <c r="D25" s="248">
        <v>650000</v>
      </c>
      <c r="E25" s="248"/>
      <c r="F25" s="248"/>
      <c r="G25" s="248"/>
      <c r="H25" s="248">
        <v>3000000</v>
      </c>
      <c r="I25" s="248"/>
      <c r="J25" s="248">
        <v>500000</v>
      </c>
      <c r="K25" s="248"/>
      <c r="L25" s="248"/>
      <c r="M25" s="248">
        <v>1761806</v>
      </c>
      <c r="N25" s="248"/>
      <c r="O25" s="408">
        <f t="shared" si="3"/>
        <v>5911806</v>
      </c>
      <c r="P25" s="409">
        <f>'1.1.sz.mell. '!C126</f>
        <v>5911806</v>
      </c>
      <c r="Q25" s="410">
        <f t="shared" si="1"/>
        <v>0</v>
      </c>
    </row>
    <row r="26" spans="1:17" s="48" customFormat="1" ht="14.1" customHeight="1" x14ac:dyDescent="0.2">
      <c r="A26" s="46" t="s">
        <v>39</v>
      </c>
      <c r="B26" s="107" t="s">
        <v>50</v>
      </c>
      <c r="C26" s="248"/>
      <c r="D26" s="248"/>
      <c r="E26" s="248"/>
      <c r="F26" s="248"/>
      <c r="G26" s="248"/>
      <c r="H26" s="248"/>
      <c r="I26" s="248"/>
      <c r="J26" s="248"/>
      <c r="K26" s="248"/>
      <c r="L26" s="248">
        <v>7058824</v>
      </c>
      <c r="M26" s="248"/>
      <c r="N26" s="248">
        <v>109320327</v>
      </c>
      <c r="O26" s="408">
        <f t="shared" si="3"/>
        <v>116379151</v>
      </c>
      <c r="P26" s="409">
        <f>'1.1.sz.mell. '!C118</f>
        <v>116379151</v>
      </c>
      <c r="Q26" s="410">
        <f t="shared" si="1"/>
        <v>0</v>
      </c>
    </row>
    <row r="27" spans="1:17" s="48" customFormat="1" ht="14.1" customHeight="1" thickBot="1" x14ac:dyDescent="0.25">
      <c r="A27" s="46" t="s">
        <v>40</v>
      </c>
      <c r="B27" s="107" t="s">
        <v>13</v>
      </c>
      <c r="C27" s="47">
        <f>48966750+59000000</f>
        <v>107966750</v>
      </c>
      <c r="D27" s="47">
        <f>95000000</f>
        <v>95000000</v>
      </c>
      <c r="E27" s="47">
        <f>6250000+83500000</f>
        <v>89750000</v>
      </c>
      <c r="F27" s="248">
        <v>51000000</v>
      </c>
      <c r="G27" s="47">
        <v>69000000</v>
      </c>
      <c r="H27" s="47">
        <f>6250000+4000000+5493747</f>
        <v>15743747</v>
      </c>
      <c r="I27" s="248">
        <v>70500000</v>
      </c>
      <c r="J27" s="248">
        <v>106000000</v>
      </c>
      <c r="K27" s="47">
        <f>6250000+94500000</f>
        <v>100750000</v>
      </c>
      <c r="L27" s="248">
        <f>66000000</f>
        <v>66000000</v>
      </c>
      <c r="M27" s="248">
        <f>66000000</f>
        <v>66000000</v>
      </c>
      <c r="N27" s="47">
        <f>6250000+80000000</f>
        <v>86250000</v>
      </c>
      <c r="O27" s="408">
        <f t="shared" si="3"/>
        <v>923960497</v>
      </c>
      <c r="P27" s="411">
        <f>'1.1.sz.mell. '!C160</f>
        <v>923960497</v>
      </c>
      <c r="Q27" s="412">
        <f t="shared" si="1"/>
        <v>0</v>
      </c>
    </row>
    <row r="28" spans="1:17" s="44" customFormat="1" ht="15.95" customHeight="1" thickBot="1" x14ac:dyDescent="0.25">
      <c r="A28" s="50" t="s">
        <v>41</v>
      </c>
      <c r="B28" s="28" t="s">
        <v>109</v>
      </c>
      <c r="C28" s="49">
        <f t="shared" ref="C28:N28" si="4">SUM(C18:C27)</f>
        <v>329278348</v>
      </c>
      <c r="D28" s="49">
        <f t="shared" si="4"/>
        <v>327823609</v>
      </c>
      <c r="E28" s="49">
        <f t="shared" si="4"/>
        <v>316570000</v>
      </c>
      <c r="F28" s="49">
        <f t="shared" si="4"/>
        <v>323834821</v>
      </c>
      <c r="G28" s="49">
        <f t="shared" si="4"/>
        <v>361067000</v>
      </c>
      <c r="H28" s="49">
        <f t="shared" si="4"/>
        <v>346035335</v>
      </c>
      <c r="I28" s="49">
        <f t="shared" si="4"/>
        <v>427072826</v>
      </c>
      <c r="J28" s="49">
        <f t="shared" si="4"/>
        <v>462970000</v>
      </c>
      <c r="K28" s="49">
        <f t="shared" si="4"/>
        <v>373303956</v>
      </c>
      <c r="L28" s="49">
        <f t="shared" si="4"/>
        <v>377028824</v>
      </c>
      <c r="M28" s="49">
        <f t="shared" si="4"/>
        <v>291731806</v>
      </c>
      <c r="N28" s="49">
        <f t="shared" si="4"/>
        <v>796292162</v>
      </c>
      <c r="O28" s="1035">
        <f t="shared" si="3"/>
        <v>4733008687</v>
      </c>
      <c r="P28" s="413">
        <f>SUM(P18:P27)</f>
        <v>4733008687</v>
      </c>
      <c r="Q28" s="414">
        <f t="shared" si="1"/>
        <v>0</v>
      </c>
    </row>
    <row r="29" spans="1:17" ht="16.5" thickBot="1" x14ac:dyDescent="0.3">
      <c r="A29" s="50" t="s">
        <v>42</v>
      </c>
      <c r="B29" s="110" t="s">
        <v>110</v>
      </c>
      <c r="C29" s="51">
        <f t="shared" ref="C29:O29" si="5">C16-C28</f>
        <v>868517592</v>
      </c>
      <c r="D29" s="51">
        <f t="shared" si="5"/>
        <v>-49199399</v>
      </c>
      <c r="E29" s="51">
        <f t="shared" si="5"/>
        <v>57170858</v>
      </c>
      <c r="F29" s="51">
        <f t="shared" si="5"/>
        <v>81223479</v>
      </c>
      <c r="G29" s="51">
        <f t="shared" si="5"/>
        <v>-105596596</v>
      </c>
      <c r="H29" s="51">
        <f t="shared" si="5"/>
        <v>42514458</v>
      </c>
      <c r="I29" s="51">
        <f t="shared" si="5"/>
        <v>-133672238</v>
      </c>
      <c r="J29" s="51">
        <f t="shared" si="5"/>
        <v>-219720000</v>
      </c>
      <c r="K29" s="51">
        <f t="shared" si="5"/>
        <v>52046044</v>
      </c>
      <c r="L29" s="51">
        <f t="shared" si="5"/>
        <v>-154640000</v>
      </c>
      <c r="M29" s="51">
        <f t="shared" si="5"/>
        <v>-17370756</v>
      </c>
      <c r="N29" s="51">
        <f t="shared" si="5"/>
        <v>-421273442</v>
      </c>
      <c r="O29" s="487">
        <f t="shared" si="5"/>
        <v>0</v>
      </c>
    </row>
    <row r="30" spans="1:17" x14ac:dyDescent="0.25">
      <c r="A30" s="52"/>
    </row>
    <row r="31" spans="1:17" x14ac:dyDescent="0.25">
      <c r="B31" s="53"/>
      <c r="C31" s="54"/>
      <c r="D31" s="54"/>
      <c r="O31" s="489"/>
    </row>
    <row r="32" spans="1:17" x14ac:dyDescent="0.25">
      <c r="O32" s="489"/>
    </row>
    <row r="33" spans="15:15" x14ac:dyDescent="0.25">
      <c r="O33" s="489"/>
    </row>
    <row r="34" spans="15:15" x14ac:dyDescent="0.25">
      <c r="O34" s="489"/>
    </row>
    <row r="35" spans="15:15" x14ac:dyDescent="0.25">
      <c r="O35" s="489"/>
    </row>
    <row r="36" spans="15:15" x14ac:dyDescent="0.25">
      <c r="O36" s="489"/>
    </row>
    <row r="37" spans="15:15" x14ac:dyDescent="0.25">
      <c r="O37" s="489"/>
    </row>
    <row r="38" spans="15:15" x14ac:dyDescent="0.25">
      <c r="O38" s="489"/>
    </row>
    <row r="39" spans="15:15" x14ac:dyDescent="0.25">
      <c r="O39" s="489"/>
    </row>
    <row r="40" spans="15:15" x14ac:dyDescent="0.25">
      <c r="O40" s="489"/>
    </row>
    <row r="41" spans="15:15" x14ac:dyDescent="0.25">
      <c r="O41" s="489"/>
    </row>
    <row r="42" spans="15:15" x14ac:dyDescent="0.25">
      <c r="O42" s="489"/>
    </row>
    <row r="43" spans="15:15" x14ac:dyDescent="0.25">
      <c r="O43" s="489"/>
    </row>
    <row r="44" spans="15:15" x14ac:dyDescent="0.25">
      <c r="O44" s="489"/>
    </row>
    <row r="45" spans="15:15" x14ac:dyDescent="0.25">
      <c r="O45" s="489"/>
    </row>
    <row r="46" spans="15:15" x14ac:dyDescent="0.25">
      <c r="O46" s="489"/>
    </row>
    <row r="47" spans="15:15" x14ac:dyDescent="0.25">
      <c r="O47" s="489"/>
    </row>
    <row r="48" spans="15:15" x14ac:dyDescent="0.25">
      <c r="O48" s="489"/>
    </row>
    <row r="49" spans="15:15" x14ac:dyDescent="0.25">
      <c r="O49" s="489"/>
    </row>
    <row r="50" spans="15:15" x14ac:dyDescent="0.25">
      <c r="O50" s="489"/>
    </row>
    <row r="51" spans="15:15" x14ac:dyDescent="0.25">
      <c r="O51" s="489"/>
    </row>
    <row r="52" spans="15:15" x14ac:dyDescent="0.25">
      <c r="O52" s="489"/>
    </row>
    <row r="53" spans="15:15" x14ac:dyDescent="0.25">
      <c r="O53" s="489"/>
    </row>
    <row r="54" spans="15:15" x14ac:dyDescent="0.25">
      <c r="O54" s="489"/>
    </row>
    <row r="55" spans="15:15" x14ac:dyDescent="0.25">
      <c r="O55" s="489"/>
    </row>
    <row r="56" spans="15:15" x14ac:dyDescent="0.25">
      <c r="O56" s="489"/>
    </row>
    <row r="57" spans="15:15" x14ac:dyDescent="0.25">
      <c r="O57" s="489"/>
    </row>
    <row r="58" spans="15:15" x14ac:dyDescent="0.25">
      <c r="O58" s="489"/>
    </row>
    <row r="59" spans="15:15" x14ac:dyDescent="0.25">
      <c r="O59" s="489"/>
    </row>
    <row r="60" spans="15:15" x14ac:dyDescent="0.25">
      <c r="O60" s="489"/>
    </row>
    <row r="61" spans="15:15" x14ac:dyDescent="0.25">
      <c r="O61" s="489"/>
    </row>
    <row r="62" spans="15:15" x14ac:dyDescent="0.25">
      <c r="O62" s="489"/>
    </row>
    <row r="63" spans="15:15" x14ac:dyDescent="0.25">
      <c r="O63" s="489"/>
    </row>
    <row r="64" spans="15:15" x14ac:dyDescent="0.25">
      <c r="O64" s="489"/>
    </row>
    <row r="65" spans="15:15" x14ac:dyDescent="0.25">
      <c r="O65" s="489"/>
    </row>
    <row r="66" spans="15:15" x14ac:dyDescent="0.25">
      <c r="O66" s="489"/>
    </row>
    <row r="67" spans="15:15" x14ac:dyDescent="0.25">
      <c r="O67" s="489"/>
    </row>
    <row r="68" spans="15:15" x14ac:dyDescent="0.25">
      <c r="O68" s="489"/>
    </row>
    <row r="69" spans="15:15" x14ac:dyDescent="0.25">
      <c r="O69" s="489"/>
    </row>
    <row r="70" spans="15:15" x14ac:dyDescent="0.25">
      <c r="O70" s="489"/>
    </row>
    <row r="71" spans="15:15" x14ac:dyDescent="0.25">
      <c r="O71" s="489"/>
    </row>
    <row r="72" spans="15:15" x14ac:dyDescent="0.25">
      <c r="O72" s="489"/>
    </row>
    <row r="73" spans="15:15" x14ac:dyDescent="0.25">
      <c r="O73" s="489"/>
    </row>
    <row r="74" spans="15:15" x14ac:dyDescent="0.25">
      <c r="O74" s="489"/>
    </row>
    <row r="75" spans="15:15" x14ac:dyDescent="0.25">
      <c r="O75" s="489"/>
    </row>
    <row r="76" spans="15:15" x14ac:dyDescent="0.25">
      <c r="O76" s="489"/>
    </row>
    <row r="77" spans="15:15" x14ac:dyDescent="0.25">
      <c r="O77" s="489"/>
    </row>
    <row r="78" spans="15:15" x14ac:dyDescent="0.25">
      <c r="O78" s="489"/>
    </row>
    <row r="79" spans="15:15" x14ac:dyDescent="0.25">
      <c r="O79" s="489"/>
    </row>
    <row r="80" spans="15:15" x14ac:dyDescent="0.25">
      <c r="O80" s="489"/>
    </row>
    <row r="81" spans="15:15" x14ac:dyDescent="0.25">
      <c r="O81" s="489"/>
    </row>
    <row r="82" spans="15:15" x14ac:dyDescent="0.25">
      <c r="O82" s="489"/>
    </row>
    <row r="83" spans="15:15" x14ac:dyDescent="0.25">
      <c r="O83" s="489"/>
    </row>
    <row r="84" spans="15:15" x14ac:dyDescent="0.25">
      <c r="O84" s="489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Normal="100" zoomScaleSheetLayoutView="85" workbookViewId="0">
      <selection activeCell="C16" sqref="C16"/>
    </sheetView>
  </sheetViews>
  <sheetFormatPr defaultColWidth="10.6640625" defaultRowHeight="15.75" x14ac:dyDescent="0.25"/>
  <cols>
    <col min="1" max="1" width="10.6640625" style="962"/>
    <col min="2" max="2" width="16" style="962" customWidth="1"/>
    <col min="3" max="3" width="89.6640625" style="962" customWidth="1"/>
    <col min="4" max="4" width="48.83203125" style="1221" customWidth="1"/>
    <col min="5" max="5" width="16.5" style="962" bestFit="1" customWidth="1"/>
    <col min="6" max="6" width="18.6640625" style="962" bestFit="1" customWidth="1"/>
    <col min="7" max="258" width="10.6640625" style="962"/>
    <col min="259" max="259" width="60.1640625" style="962" customWidth="1"/>
    <col min="260" max="260" width="48.83203125" style="962" customWidth="1"/>
    <col min="261" max="261" width="16.5" style="962" bestFit="1" customWidth="1"/>
    <col min="262" max="262" width="15" style="962" customWidth="1"/>
    <col min="263" max="514" width="10.6640625" style="962"/>
    <col min="515" max="515" width="60.1640625" style="962" customWidth="1"/>
    <col min="516" max="516" width="48.83203125" style="962" customWidth="1"/>
    <col min="517" max="517" width="16.5" style="962" bestFit="1" customWidth="1"/>
    <col min="518" max="518" width="15" style="962" customWidth="1"/>
    <col min="519" max="770" width="10.6640625" style="962"/>
    <col min="771" max="771" width="60.1640625" style="962" customWidth="1"/>
    <col min="772" max="772" width="48.83203125" style="962" customWidth="1"/>
    <col min="773" max="773" width="16.5" style="962" bestFit="1" customWidth="1"/>
    <col min="774" max="774" width="15" style="962" customWidth="1"/>
    <col min="775" max="1026" width="10.6640625" style="962"/>
    <col min="1027" max="1027" width="60.1640625" style="962" customWidth="1"/>
    <col min="1028" max="1028" width="48.83203125" style="962" customWidth="1"/>
    <col min="1029" max="1029" width="16.5" style="962" bestFit="1" customWidth="1"/>
    <col min="1030" max="1030" width="15" style="962" customWidth="1"/>
    <col min="1031" max="1282" width="10.6640625" style="962"/>
    <col min="1283" max="1283" width="60.1640625" style="962" customWidth="1"/>
    <col min="1284" max="1284" width="48.83203125" style="962" customWidth="1"/>
    <col min="1285" max="1285" width="16.5" style="962" bestFit="1" customWidth="1"/>
    <col min="1286" max="1286" width="15" style="962" customWidth="1"/>
    <col min="1287" max="1538" width="10.6640625" style="962"/>
    <col min="1539" max="1539" width="60.1640625" style="962" customWidth="1"/>
    <col min="1540" max="1540" width="48.83203125" style="962" customWidth="1"/>
    <col min="1541" max="1541" width="16.5" style="962" bestFit="1" customWidth="1"/>
    <col min="1542" max="1542" width="15" style="962" customWidth="1"/>
    <col min="1543" max="1794" width="10.6640625" style="962"/>
    <col min="1795" max="1795" width="60.1640625" style="962" customWidth="1"/>
    <col min="1796" max="1796" width="48.83203125" style="962" customWidth="1"/>
    <col min="1797" max="1797" width="16.5" style="962" bestFit="1" customWidth="1"/>
    <col min="1798" max="1798" width="15" style="962" customWidth="1"/>
    <col min="1799" max="2050" width="10.6640625" style="962"/>
    <col min="2051" max="2051" width="60.1640625" style="962" customWidth="1"/>
    <col min="2052" max="2052" width="48.83203125" style="962" customWidth="1"/>
    <col min="2053" max="2053" width="16.5" style="962" bestFit="1" customWidth="1"/>
    <col min="2054" max="2054" width="15" style="962" customWidth="1"/>
    <col min="2055" max="2306" width="10.6640625" style="962"/>
    <col min="2307" max="2307" width="60.1640625" style="962" customWidth="1"/>
    <col min="2308" max="2308" width="48.83203125" style="962" customWidth="1"/>
    <col min="2309" max="2309" width="16.5" style="962" bestFit="1" customWidth="1"/>
    <col min="2310" max="2310" width="15" style="962" customWidth="1"/>
    <col min="2311" max="2562" width="10.6640625" style="962"/>
    <col min="2563" max="2563" width="60.1640625" style="962" customWidth="1"/>
    <col min="2564" max="2564" width="48.83203125" style="962" customWidth="1"/>
    <col min="2565" max="2565" width="16.5" style="962" bestFit="1" customWidth="1"/>
    <col min="2566" max="2566" width="15" style="962" customWidth="1"/>
    <col min="2567" max="2818" width="10.6640625" style="962"/>
    <col min="2819" max="2819" width="60.1640625" style="962" customWidth="1"/>
    <col min="2820" max="2820" width="48.83203125" style="962" customWidth="1"/>
    <col min="2821" max="2821" width="16.5" style="962" bestFit="1" customWidth="1"/>
    <col min="2822" max="2822" width="15" style="962" customWidth="1"/>
    <col min="2823" max="3074" width="10.6640625" style="962"/>
    <col min="3075" max="3075" width="60.1640625" style="962" customWidth="1"/>
    <col min="3076" max="3076" width="48.83203125" style="962" customWidth="1"/>
    <col min="3077" max="3077" width="16.5" style="962" bestFit="1" customWidth="1"/>
    <col min="3078" max="3078" width="15" style="962" customWidth="1"/>
    <col min="3079" max="3330" width="10.6640625" style="962"/>
    <col min="3331" max="3331" width="60.1640625" style="962" customWidth="1"/>
    <col min="3332" max="3332" width="48.83203125" style="962" customWidth="1"/>
    <col min="3333" max="3333" width="16.5" style="962" bestFit="1" customWidth="1"/>
    <col min="3334" max="3334" width="15" style="962" customWidth="1"/>
    <col min="3335" max="3586" width="10.6640625" style="962"/>
    <col min="3587" max="3587" width="60.1640625" style="962" customWidth="1"/>
    <col min="3588" max="3588" width="48.83203125" style="962" customWidth="1"/>
    <col min="3589" max="3589" width="16.5" style="962" bestFit="1" customWidth="1"/>
    <col min="3590" max="3590" width="15" style="962" customWidth="1"/>
    <col min="3591" max="3842" width="10.6640625" style="962"/>
    <col min="3843" max="3843" width="60.1640625" style="962" customWidth="1"/>
    <col min="3844" max="3844" width="48.83203125" style="962" customWidth="1"/>
    <col min="3845" max="3845" width="16.5" style="962" bestFit="1" customWidth="1"/>
    <col min="3846" max="3846" width="15" style="962" customWidth="1"/>
    <col min="3847" max="4098" width="10.6640625" style="962"/>
    <col min="4099" max="4099" width="60.1640625" style="962" customWidth="1"/>
    <col min="4100" max="4100" width="48.83203125" style="962" customWidth="1"/>
    <col min="4101" max="4101" width="16.5" style="962" bestFit="1" customWidth="1"/>
    <col min="4102" max="4102" width="15" style="962" customWidth="1"/>
    <col min="4103" max="4354" width="10.6640625" style="962"/>
    <col min="4355" max="4355" width="60.1640625" style="962" customWidth="1"/>
    <col min="4356" max="4356" width="48.83203125" style="962" customWidth="1"/>
    <col min="4357" max="4357" width="16.5" style="962" bestFit="1" customWidth="1"/>
    <col min="4358" max="4358" width="15" style="962" customWidth="1"/>
    <col min="4359" max="4610" width="10.6640625" style="962"/>
    <col min="4611" max="4611" width="60.1640625" style="962" customWidth="1"/>
    <col min="4612" max="4612" width="48.83203125" style="962" customWidth="1"/>
    <col min="4613" max="4613" width="16.5" style="962" bestFit="1" customWidth="1"/>
    <col min="4614" max="4614" width="15" style="962" customWidth="1"/>
    <col min="4615" max="4866" width="10.6640625" style="962"/>
    <col min="4867" max="4867" width="60.1640625" style="962" customWidth="1"/>
    <col min="4868" max="4868" width="48.83203125" style="962" customWidth="1"/>
    <col min="4869" max="4869" width="16.5" style="962" bestFit="1" customWidth="1"/>
    <col min="4870" max="4870" width="15" style="962" customWidth="1"/>
    <col min="4871" max="5122" width="10.6640625" style="962"/>
    <col min="5123" max="5123" width="60.1640625" style="962" customWidth="1"/>
    <col min="5124" max="5124" width="48.83203125" style="962" customWidth="1"/>
    <col min="5125" max="5125" width="16.5" style="962" bestFit="1" customWidth="1"/>
    <col min="5126" max="5126" width="15" style="962" customWidth="1"/>
    <col min="5127" max="5378" width="10.6640625" style="962"/>
    <col min="5379" max="5379" width="60.1640625" style="962" customWidth="1"/>
    <col min="5380" max="5380" width="48.83203125" style="962" customWidth="1"/>
    <col min="5381" max="5381" width="16.5" style="962" bestFit="1" customWidth="1"/>
    <col min="5382" max="5382" width="15" style="962" customWidth="1"/>
    <col min="5383" max="5634" width="10.6640625" style="962"/>
    <col min="5635" max="5635" width="60.1640625" style="962" customWidth="1"/>
    <col min="5636" max="5636" width="48.83203125" style="962" customWidth="1"/>
    <col min="5637" max="5637" width="16.5" style="962" bestFit="1" customWidth="1"/>
    <col min="5638" max="5638" width="15" style="962" customWidth="1"/>
    <col min="5639" max="5890" width="10.6640625" style="962"/>
    <col min="5891" max="5891" width="60.1640625" style="962" customWidth="1"/>
    <col min="5892" max="5892" width="48.83203125" style="962" customWidth="1"/>
    <col min="5893" max="5893" width="16.5" style="962" bestFit="1" customWidth="1"/>
    <col min="5894" max="5894" width="15" style="962" customWidth="1"/>
    <col min="5895" max="6146" width="10.6640625" style="962"/>
    <col min="6147" max="6147" width="60.1640625" style="962" customWidth="1"/>
    <col min="6148" max="6148" width="48.83203125" style="962" customWidth="1"/>
    <col min="6149" max="6149" width="16.5" style="962" bestFit="1" customWidth="1"/>
    <col min="6150" max="6150" width="15" style="962" customWidth="1"/>
    <col min="6151" max="6402" width="10.6640625" style="962"/>
    <col min="6403" max="6403" width="60.1640625" style="962" customWidth="1"/>
    <col min="6404" max="6404" width="48.83203125" style="962" customWidth="1"/>
    <col min="6405" max="6405" width="16.5" style="962" bestFit="1" customWidth="1"/>
    <col min="6406" max="6406" width="15" style="962" customWidth="1"/>
    <col min="6407" max="6658" width="10.6640625" style="962"/>
    <col min="6659" max="6659" width="60.1640625" style="962" customWidth="1"/>
    <col min="6660" max="6660" width="48.83203125" style="962" customWidth="1"/>
    <col min="6661" max="6661" width="16.5" style="962" bestFit="1" customWidth="1"/>
    <col min="6662" max="6662" width="15" style="962" customWidth="1"/>
    <col min="6663" max="6914" width="10.6640625" style="962"/>
    <col min="6915" max="6915" width="60.1640625" style="962" customWidth="1"/>
    <col min="6916" max="6916" width="48.83203125" style="962" customWidth="1"/>
    <col min="6917" max="6917" width="16.5" style="962" bestFit="1" customWidth="1"/>
    <col min="6918" max="6918" width="15" style="962" customWidth="1"/>
    <col min="6919" max="7170" width="10.6640625" style="962"/>
    <col min="7171" max="7171" width="60.1640625" style="962" customWidth="1"/>
    <col min="7172" max="7172" width="48.83203125" style="962" customWidth="1"/>
    <col min="7173" max="7173" width="16.5" style="962" bestFit="1" customWidth="1"/>
    <col min="7174" max="7174" width="15" style="962" customWidth="1"/>
    <col min="7175" max="7426" width="10.6640625" style="962"/>
    <col min="7427" max="7427" width="60.1640625" style="962" customWidth="1"/>
    <col min="7428" max="7428" width="48.83203125" style="962" customWidth="1"/>
    <col min="7429" max="7429" width="16.5" style="962" bestFit="1" customWidth="1"/>
    <col min="7430" max="7430" width="15" style="962" customWidth="1"/>
    <col min="7431" max="7682" width="10.6640625" style="962"/>
    <col min="7683" max="7683" width="60.1640625" style="962" customWidth="1"/>
    <col min="7684" max="7684" width="48.83203125" style="962" customWidth="1"/>
    <col min="7685" max="7685" width="16.5" style="962" bestFit="1" customWidth="1"/>
    <col min="7686" max="7686" width="15" style="962" customWidth="1"/>
    <col min="7687" max="7938" width="10.6640625" style="962"/>
    <col min="7939" max="7939" width="60.1640625" style="962" customWidth="1"/>
    <col min="7940" max="7940" width="48.83203125" style="962" customWidth="1"/>
    <col min="7941" max="7941" width="16.5" style="962" bestFit="1" customWidth="1"/>
    <col min="7942" max="7942" width="15" style="962" customWidth="1"/>
    <col min="7943" max="8194" width="10.6640625" style="962"/>
    <col min="8195" max="8195" width="60.1640625" style="962" customWidth="1"/>
    <col min="8196" max="8196" width="48.83203125" style="962" customWidth="1"/>
    <col min="8197" max="8197" width="16.5" style="962" bestFit="1" customWidth="1"/>
    <col min="8198" max="8198" width="15" style="962" customWidth="1"/>
    <col min="8199" max="8450" width="10.6640625" style="962"/>
    <col min="8451" max="8451" width="60.1640625" style="962" customWidth="1"/>
    <col min="8452" max="8452" width="48.83203125" style="962" customWidth="1"/>
    <col min="8453" max="8453" width="16.5" style="962" bestFit="1" customWidth="1"/>
    <col min="8454" max="8454" width="15" style="962" customWidth="1"/>
    <col min="8455" max="8706" width="10.6640625" style="962"/>
    <col min="8707" max="8707" width="60.1640625" style="962" customWidth="1"/>
    <col min="8708" max="8708" width="48.83203125" style="962" customWidth="1"/>
    <col min="8709" max="8709" width="16.5" style="962" bestFit="1" customWidth="1"/>
    <col min="8710" max="8710" width="15" style="962" customWidth="1"/>
    <col min="8711" max="8962" width="10.6640625" style="962"/>
    <col min="8963" max="8963" width="60.1640625" style="962" customWidth="1"/>
    <col min="8964" max="8964" width="48.83203125" style="962" customWidth="1"/>
    <col min="8965" max="8965" width="16.5" style="962" bestFit="1" customWidth="1"/>
    <col min="8966" max="8966" width="15" style="962" customWidth="1"/>
    <col min="8967" max="9218" width="10.6640625" style="962"/>
    <col min="9219" max="9219" width="60.1640625" style="962" customWidth="1"/>
    <col min="9220" max="9220" width="48.83203125" style="962" customWidth="1"/>
    <col min="9221" max="9221" width="16.5" style="962" bestFit="1" customWidth="1"/>
    <col min="9222" max="9222" width="15" style="962" customWidth="1"/>
    <col min="9223" max="9474" width="10.6640625" style="962"/>
    <col min="9475" max="9475" width="60.1640625" style="962" customWidth="1"/>
    <col min="9476" max="9476" width="48.83203125" style="962" customWidth="1"/>
    <col min="9477" max="9477" width="16.5" style="962" bestFit="1" customWidth="1"/>
    <col min="9478" max="9478" width="15" style="962" customWidth="1"/>
    <col min="9479" max="9730" width="10.6640625" style="962"/>
    <col min="9731" max="9731" width="60.1640625" style="962" customWidth="1"/>
    <col min="9732" max="9732" width="48.83203125" style="962" customWidth="1"/>
    <col min="9733" max="9733" width="16.5" style="962" bestFit="1" customWidth="1"/>
    <col min="9734" max="9734" width="15" style="962" customWidth="1"/>
    <col min="9735" max="9986" width="10.6640625" style="962"/>
    <col min="9987" max="9987" width="60.1640625" style="962" customWidth="1"/>
    <col min="9988" max="9988" width="48.83203125" style="962" customWidth="1"/>
    <col min="9989" max="9989" width="16.5" style="962" bestFit="1" customWidth="1"/>
    <col min="9990" max="9990" width="15" style="962" customWidth="1"/>
    <col min="9991" max="10242" width="10.6640625" style="962"/>
    <col min="10243" max="10243" width="60.1640625" style="962" customWidth="1"/>
    <col min="10244" max="10244" width="48.83203125" style="962" customWidth="1"/>
    <col min="10245" max="10245" width="16.5" style="962" bestFit="1" customWidth="1"/>
    <col min="10246" max="10246" width="15" style="962" customWidth="1"/>
    <col min="10247" max="10498" width="10.6640625" style="962"/>
    <col min="10499" max="10499" width="60.1640625" style="962" customWidth="1"/>
    <col min="10500" max="10500" width="48.83203125" style="962" customWidth="1"/>
    <col min="10501" max="10501" width="16.5" style="962" bestFit="1" customWidth="1"/>
    <col min="10502" max="10502" width="15" style="962" customWidth="1"/>
    <col min="10503" max="10754" width="10.6640625" style="962"/>
    <col min="10755" max="10755" width="60.1640625" style="962" customWidth="1"/>
    <col min="10756" max="10756" width="48.83203125" style="962" customWidth="1"/>
    <col min="10757" max="10757" width="16.5" style="962" bestFit="1" customWidth="1"/>
    <col min="10758" max="10758" width="15" style="962" customWidth="1"/>
    <col min="10759" max="11010" width="10.6640625" style="962"/>
    <col min="11011" max="11011" width="60.1640625" style="962" customWidth="1"/>
    <col min="11012" max="11012" width="48.83203125" style="962" customWidth="1"/>
    <col min="11013" max="11013" width="16.5" style="962" bestFit="1" customWidth="1"/>
    <col min="11014" max="11014" width="15" style="962" customWidth="1"/>
    <col min="11015" max="11266" width="10.6640625" style="962"/>
    <col min="11267" max="11267" width="60.1640625" style="962" customWidth="1"/>
    <col min="11268" max="11268" width="48.83203125" style="962" customWidth="1"/>
    <col min="11269" max="11269" width="16.5" style="962" bestFit="1" customWidth="1"/>
    <col min="11270" max="11270" width="15" style="962" customWidth="1"/>
    <col min="11271" max="11522" width="10.6640625" style="962"/>
    <col min="11523" max="11523" width="60.1640625" style="962" customWidth="1"/>
    <col min="11524" max="11524" width="48.83203125" style="962" customWidth="1"/>
    <col min="11525" max="11525" width="16.5" style="962" bestFit="1" customWidth="1"/>
    <col min="11526" max="11526" width="15" style="962" customWidth="1"/>
    <col min="11527" max="11778" width="10.6640625" style="962"/>
    <col min="11779" max="11779" width="60.1640625" style="962" customWidth="1"/>
    <col min="11780" max="11780" width="48.83203125" style="962" customWidth="1"/>
    <col min="11781" max="11781" width="16.5" style="962" bestFit="1" customWidth="1"/>
    <col min="11782" max="11782" width="15" style="962" customWidth="1"/>
    <col min="11783" max="12034" width="10.6640625" style="962"/>
    <col min="12035" max="12035" width="60.1640625" style="962" customWidth="1"/>
    <col min="12036" max="12036" width="48.83203125" style="962" customWidth="1"/>
    <col min="12037" max="12037" width="16.5" style="962" bestFit="1" customWidth="1"/>
    <col min="12038" max="12038" width="15" style="962" customWidth="1"/>
    <col min="12039" max="12290" width="10.6640625" style="962"/>
    <col min="12291" max="12291" width="60.1640625" style="962" customWidth="1"/>
    <col min="12292" max="12292" width="48.83203125" style="962" customWidth="1"/>
    <col min="12293" max="12293" width="16.5" style="962" bestFit="1" customWidth="1"/>
    <col min="12294" max="12294" width="15" style="962" customWidth="1"/>
    <col min="12295" max="12546" width="10.6640625" style="962"/>
    <col min="12547" max="12547" width="60.1640625" style="962" customWidth="1"/>
    <col min="12548" max="12548" width="48.83203125" style="962" customWidth="1"/>
    <col min="12549" max="12549" width="16.5" style="962" bestFit="1" customWidth="1"/>
    <col min="12550" max="12550" width="15" style="962" customWidth="1"/>
    <col min="12551" max="12802" width="10.6640625" style="962"/>
    <col min="12803" max="12803" width="60.1640625" style="962" customWidth="1"/>
    <col min="12804" max="12804" width="48.83203125" style="962" customWidth="1"/>
    <col min="12805" max="12805" width="16.5" style="962" bestFit="1" customWidth="1"/>
    <col min="12806" max="12806" width="15" style="962" customWidth="1"/>
    <col min="12807" max="13058" width="10.6640625" style="962"/>
    <col min="13059" max="13059" width="60.1640625" style="962" customWidth="1"/>
    <col min="13060" max="13060" width="48.83203125" style="962" customWidth="1"/>
    <col min="13061" max="13061" width="16.5" style="962" bestFit="1" customWidth="1"/>
    <col min="13062" max="13062" width="15" style="962" customWidth="1"/>
    <col min="13063" max="13314" width="10.6640625" style="962"/>
    <col min="13315" max="13315" width="60.1640625" style="962" customWidth="1"/>
    <col min="13316" max="13316" width="48.83203125" style="962" customWidth="1"/>
    <col min="13317" max="13317" width="16.5" style="962" bestFit="1" customWidth="1"/>
    <col min="13318" max="13318" width="15" style="962" customWidth="1"/>
    <col min="13319" max="13570" width="10.6640625" style="962"/>
    <col min="13571" max="13571" width="60.1640625" style="962" customWidth="1"/>
    <col min="13572" max="13572" width="48.83203125" style="962" customWidth="1"/>
    <col min="13573" max="13573" width="16.5" style="962" bestFit="1" customWidth="1"/>
    <col min="13574" max="13574" width="15" style="962" customWidth="1"/>
    <col min="13575" max="13826" width="10.6640625" style="962"/>
    <col min="13827" max="13827" width="60.1640625" style="962" customWidth="1"/>
    <col min="13828" max="13828" width="48.83203125" style="962" customWidth="1"/>
    <col min="13829" max="13829" width="16.5" style="962" bestFit="1" customWidth="1"/>
    <col min="13830" max="13830" width="15" style="962" customWidth="1"/>
    <col min="13831" max="14082" width="10.6640625" style="962"/>
    <col min="14083" max="14083" width="60.1640625" style="962" customWidth="1"/>
    <col min="14084" max="14084" width="48.83203125" style="962" customWidth="1"/>
    <col min="14085" max="14085" width="16.5" style="962" bestFit="1" customWidth="1"/>
    <col min="14086" max="14086" width="15" style="962" customWidth="1"/>
    <col min="14087" max="14338" width="10.6640625" style="962"/>
    <col min="14339" max="14339" width="60.1640625" style="962" customWidth="1"/>
    <col min="14340" max="14340" width="48.83203125" style="962" customWidth="1"/>
    <col min="14341" max="14341" width="16.5" style="962" bestFit="1" customWidth="1"/>
    <col min="14342" max="14342" width="15" style="962" customWidth="1"/>
    <col min="14343" max="14594" width="10.6640625" style="962"/>
    <col min="14595" max="14595" width="60.1640625" style="962" customWidth="1"/>
    <col min="14596" max="14596" width="48.83203125" style="962" customWidth="1"/>
    <col min="14597" max="14597" width="16.5" style="962" bestFit="1" customWidth="1"/>
    <col min="14598" max="14598" width="15" style="962" customWidth="1"/>
    <col min="14599" max="14850" width="10.6640625" style="962"/>
    <col min="14851" max="14851" width="60.1640625" style="962" customWidth="1"/>
    <col min="14852" max="14852" width="48.83203125" style="962" customWidth="1"/>
    <col min="14853" max="14853" width="16.5" style="962" bestFit="1" customWidth="1"/>
    <col min="14854" max="14854" width="15" style="962" customWidth="1"/>
    <col min="14855" max="15106" width="10.6640625" style="962"/>
    <col min="15107" max="15107" width="60.1640625" style="962" customWidth="1"/>
    <col min="15108" max="15108" width="48.83203125" style="962" customWidth="1"/>
    <col min="15109" max="15109" width="16.5" style="962" bestFit="1" customWidth="1"/>
    <col min="15110" max="15110" width="15" style="962" customWidth="1"/>
    <col min="15111" max="15362" width="10.6640625" style="962"/>
    <col min="15363" max="15363" width="60.1640625" style="962" customWidth="1"/>
    <col min="15364" max="15364" width="48.83203125" style="962" customWidth="1"/>
    <col min="15365" max="15365" width="16.5" style="962" bestFit="1" customWidth="1"/>
    <col min="15366" max="15366" width="15" style="962" customWidth="1"/>
    <col min="15367" max="15618" width="10.6640625" style="962"/>
    <col min="15619" max="15619" width="60.1640625" style="962" customWidth="1"/>
    <col min="15620" max="15620" width="48.83203125" style="962" customWidth="1"/>
    <col min="15621" max="15621" width="16.5" style="962" bestFit="1" customWidth="1"/>
    <col min="15622" max="15622" width="15" style="962" customWidth="1"/>
    <col min="15623" max="15874" width="10.6640625" style="962"/>
    <col min="15875" max="15875" width="60.1640625" style="962" customWidth="1"/>
    <col min="15876" max="15876" width="48.83203125" style="962" customWidth="1"/>
    <col min="15877" max="15877" width="16.5" style="962" bestFit="1" customWidth="1"/>
    <col min="15878" max="15878" width="15" style="962" customWidth="1"/>
    <col min="15879" max="16130" width="10.6640625" style="962"/>
    <col min="16131" max="16131" width="60.1640625" style="962" customWidth="1"/>
    <col min="16132" max="16132" width="48.83203125" style="962" customWidth="1"/>
    <col min="16133" max="16133" width="16.5" style="962" bestFit="1" customWidth="1"/>
    <col min="16134" max="16134" width="15" style="962" customWidth="1"/>
    <col min="16135" max="16384" width="10.6640625" style="962"/>
  </cols>
  <sheetData>
    <row r="1" spans="1:4" ht="12.75" x14ac:dyDescent="0.2">
      <c r="A1" s="1519" t="str">
        <f>CONCATENATE("5. tájékoztató tábla ",ALAPADATOK!A7," ",ALAPADATOK!B7," ",ALAPADATOK!C7," ",ALAPADATOK!D7," ",ALAPADATOK!E7," ",ALAPADATOK!F7," ",ALAPADATOK!G7," ",ALAPADATOK!H7)</f>
        <v>5. tájékoztató tábla a 2 / 2021. ( II.15. ) önkormányzati rendelethez</v>
      </c>
      <c r="B1" s="1519"/>
      <c r="C1" s="1519"/>
      <c r="D1" s="1519"/>
    </row>
    <row r="2" spans="1:4" ht="17.25" customHeight="1" x14ac:dyDescent="0.2">
      <c r="C2" s="243"/>
      <c r="D2" s="1123" t="s">
        <v>836</v>
      </c>
    </row>
    <row r="3" spans="1:4" ht="42" customHeight="1" x14ac:dyDescent="0.2">
      <c r="A3" s="1520" t="s">
        <v>1030</v>
      </c>
      <c r="B3" s="1520"/>
      <c r="C3" s="1520"/>
      <c r="D3" s="1520"/>
    </row>
    <row r="4" spans="1:4" ht="33" customHeight="1" thickBot="1" x14ac:dyDescent="0.3">
      <c r="C4" s="244"/>
      <c r="D4" s="1095" t="s">
        <v>14</v>
      </c>
    </row>
    <row r="5" spans="1:4" ht="12.75" x14ac:dyDescent="0.2">
      <c r="A5" s="1521" t="s">
        <v>815</v>
      </c>
      <c r="B5" s="1530" t="s">
        <v>876</v>
      </c>
      <c r="C5" s="1524" t="s">
        <v>799</v>
      </c>
      <c r="D5" s="1527" t="s">
        <v>964</v>
      </c>
    </row>
    <row r="6" spans="1:4" ht="12.75" x14ac:dyDescent="0.2">
      <c r="A6" s="1522"/>
      <c r="B6" s="1531"/>
      <c r="C6" s="1525"/>
      <c r="D6" s="1528"/>
    </row>
    <row r="7" spans="1:4" ht="13.5" thickBot="1" x14ac:dyDescent="0.25">
      <c r="A7" s="1523"/>
      <c r="B7" s="1531"/>
      <c r="C7" s="1526"/>
      <c r="D7" s="1529"/>
    </row>
    <row r="8" spans="1:4" x14ac:dyDescent="0.2">
      <c r="A8" s="1160" t="s">
        <v>19</v>
      </c>
      <c r="B8" s="1179" t="s">
        <v>877</v>
      </c>
      <c r="C8" s="1159" t="s">
        <v>403</v>
      </c>
      <c r="D8" s="1169">
        <v>176568750</v>
      </c>
    </row>
    <row r="9" spans="1:4" x14ac:dyDescent="0.2">
      <c r="A9" s="1161" t="s">
        <v>20</v>
      </c>
      <c r="B9" s="1180" t="s">
        <v>878</v>
      </c>
      <c r="C9" s="1177" t="s">
        <v>879</v>
      </c>
      <c r="D9" s="1214">
        <v>19779480</v>
      </c>
    </row>
    <row r="10" spans="1:4" x14ac:dyDescent="0.2">
      <c r="A10" s="1161" t="s">
        <v>21</v>
      </c>
      <c r="B10" s="1180" t="s">
        <v>888</v>
      </c>
      <c r="C10" s="1177" t="s">
        <v>880</v>
      </c>
      <c r="D10" s="1214">
        <v>35440000</v>
      </c>
    </row>
    <row r="11" spans="1:4" ht="15" customHeight="1" x14ac:dyDescent="0.2">
      <c r="A11" s="1161" t="s">
        <v>22</v>
      </c>
      <c r="B11" s="1180" t="s">
        <v>887</v>
      </c>
      <c r="C11" s="1177" t="s">
        <v>881</v>
      </c>
      <c r="D11" s="1214">
        <v>7111416</v>
      </c>
    </row>
    <row r="12" spans="1:4" x14ac:dyDescent="0.2">
      <c r="A12" s="1161" t="s">
        <v>23</v>
      </c>
      <c r="B12" s="1180" t="s">
        <v>884</v>
      </c>
      <c r="C12" s="1177" t="s">
        <v>882</v>
      </c>
      <c r="D12" s="1214">
        <v>20759151</v>
      </c>
    </row>
    <row r="13" spans="1:4" x14ac:dyDescent="0.2">
      <c r="A13" s="1161" t="s">
        <v>24</v>
      </c>
      <c r="B13" s="1180" t="s">
        <v>885</v>
      </c>
      <c r="C13" s="1177" t="s">
        <v>883</v>
      </c>
      <c r="D13" s="1214">
        <v>35197200</v>
      </c>
    </row>
    <row r="14" spans="1:4" ht="17.25" customHeight="1" x14ac:dyDescent="0.2">
      <c r="A14" s="1161" t="s">
        <v>25</v>
      </c>
      <c r="B14" s="1180" t="s">
        <v>886</v>
      </c>
      <c r="C14" s="1177" t="s">
        <v>404</v>
      </c>
      <c r="D14" s="1214">
        <v>153000</v>
      </c>
    </row>
    <row r="15" spans="1:4" ht="17.25" customHeight="1" thickBot="1" x14ac:dyDescent="0.25">
      <c r="A15" s="1170" t="s">
        <v>26</v>
      </c>
      <c r="B15" s="1183"/>
      <c r="C15" s="1185" t="s">
        <v>965</v>
      </c>
      <c r="D15" s="1215">
        <v>687600</v>
      </c>
    </row>
    <row r="16" spans="1:4" ht="32.25" thickBot="1" x14ac:dyDescent="0.25">
      <c r="A16" s="1162" t="s">
        <v>27</v>
      </c>
      <c r="B16" s="1181" t="s">
        <v>97</v>
      </c>
      <c r="C16" s="1156" t="s">
        <v>889</v>
      </c>
      <c r="D16" s="1174">
        <f>SUM(D8:D15)</f>
        <v>295696597</v>
      </c>
    </row>
    <row r="17" spans="1:5" x14ac:dyDescent="0.2">
      <c r="A17" s="1163" t="s">
        <v>28</v>
      </c>
      <c r="B17" s="1188" t="s">
        <v>890</v>
      </c>
      <c r="C17" s="1188" t="s">
        <v>891</v>
      </c>
      <c r="D17" s="1176">
        <v>33632220</v>
      </c>
    </row>
    <row r="18" spans="1:5" x14ac:dyDescent="0.2">
      <c r="A18" s="1161" t="s">
        <v>29</v>
      </c>
      <c r="B18" s="1189" t="s">
        <v>892</v>
      </c>
      <c r="C18" s="1189" t="s">
        <v>893</v>
      </c>
      <c r="D18" s="1214">
        <v>144872700</v>
      </c>
    </row>
    <row r="19" spans="1:5" x14ac:dyDescent="0.2">
      <c r="A19" s="1161" t="s">
        <v>30</v>
      </c>
      <c r="B19" s="1189" t="s">
        <v>895</v>
      </c>
      <c r="C19" s="1189" t="s">
        <v>894</v>
      </c>
      <c r="D19" s="1214">
        <v>7776000</v>
      </c>
    </row>
    <row r="20" spans="1:5" x14ac:dyDescent="0.2">
      <c r="A20" s="1161" t="s">
        <v>31</v>
      </c>
      <c r="B20" s="1189" t="s">
        <v>896</v>
      </c>
      <c r="C20" s="1189" t="s">
        <v>897</v>
      </c>
      <c r="D20" s="1214">
        <v>6444000</v>
      </c>
    </row>
    <row r="21" spans="1:5" ht="16.5" thickBot="1" x14ac:dyDescent="0.25">
      <c r="A21" s="1164" t="s">
        <v>32</v>
      </c>
      <c r="B21" s="1205" t="s">
        <v>899</v>
      </c>
      <c r="C21" s="1186" t="s">
        <v>898</v>
      </c>
      <c r="D21" s="1214">
        <v>61299000</v>
      </c>
    </row>
    <row r="22" spans="1:5" ht="32.25" thickBot="1" x14ac:dyDescent="0.25">
      <c r="A22" s="1162" t="s">
        <v>33</v>
      </c>
      <c r="B22" s="1181" t="s">
        <v>98</v>
      </c>
      <c r="C22" s="1156" t="s">
        <v>966</v>
      </c>
      <c r="D22" s="1174">
        <f>SUM(D17:D21)</f>
        <v>254023920</v>
      </c>
    </row>
    <row r="23" spans="1:5" ht="31.5" customHeight="1" thickBot="1" x14ac:dyDescent="0.25">
      <c r="A23" s="1157" t="s">
        <v>34</v>
      </c>
      <c r="B23" s="1158" t="s">
        <v>901</v>
      </c>
      <c r="C23" s="1187" t="s">
        <v>900</v>
      </c>
      <c r="D23" s="1216">
        <v>127982119</v>
      </c>
    </row>
    <row r="24" spans="1:5" x14ac:dyDescent="0.2">
      <c r="A24" s="1163" t="s">
        <v>35</v>
      </c>
      <c r="B24" s="1212" t="s">
        <v>904</v>
      </c>
      <c r="C24" s="1188" t="s">
        <v>902</v>
      </c>
      <c r="D24" s="1176">
        <v>6560000</v>
      </c>
    </row>
    <row r="25" spans="1:5" x14ac:dyDescent="0.2">
      <c r="A25" s="1161" t="s">
        <v>36</v>
      </c>
      <c r="B25" s="1213" t="s">
        <v>905</v>
      </c>
      <c r="C25" s="1189" t="s">
        <v>903</v>
      </c>
      <c r="D25" s="1214">
        <v>22630000</v>
      </c>
      <c r="E25" s="245"/>
    </row>
    <row r="26" spans="1:5" x14ac:dyDescent="0.2">
      <c r="A26" s="1161" t="s">
        <v>37</v>
      </c>
      <c r="B26" s="1213" t="s">
        <v>907</v>
      </c>
      <c r="C26" s="1189" t="s">
        <v>906</v>
      </c>
      <c r="D26" s="1214">
        <v>4512480</v>
      </c>
    </row>
    <row r="27" spans="1:5" x14ac:dyDescent="0.2">
      <c r="A27" s="1161" t="s">
        <v>38</v>
      </c>
      <c r="B27" s="1213" t="s">
        <v>910</v>
      </c>
      <c r="C27" s="1189" t="s">
        <v>908</v>
      </c>
      <c r="D27" s="1214">
        <v>25000</v>
      </c>
    </row>
    <row r="28" spans="1:5" x14ac:dyDescent="0.2">
      <c r="A28" s="1161" t="s">
        <v>39</v>
      </c>
      <c r="B28" s="1213" t="s">
        <v>911</v>
      </c>
      <c r="C28" s="1189" t="s">
        <v>909</v>
      </c>
      <c r="D28" s="1214">
        <v>23595000</v>
      </c>
    </row>
    <row r="29" spans="1:5" x14ac:dyDescent="0.2">
      <c r="A29" s="1161" t="s">
        <v>40</v>
      </c>
      <c r="B29" s="1213" t="s">
        <v>913</v>
      </c>
      <c r="C29" s="1189" t="s">
        <v>912</v>
      </c>
      <c r="D29" s="1214">
        <v>3472000</v>
      </c>
    </row>
    <row r="30" spans="1:5" x14ac:dyDescent="0.2">
      <c r="A30" s="1161" t="s">
        <v>41</v>
      </c>
      <c r="B30" s="1213" t="s">
        <v>914</v>
      </c>
      <c r="C30" s="1189" t="s">
        <v>926</v>
      </c>
      <c r="D30" s="1214">
        <v>3000000</v>
      </c>
    </row>
    <row r="31" spans="1:5" x14ac:dyDescent="0.2">
      <c r="A31" s="1161" t="s">
        <v>42</v>
      </c>
      <c r="B31" s="1194" t="s">
        <v>915</v>
      </c>
      <c r="C31" s="1189" t="s">
        <v>927</v>
      </c>
      <c r="D31" s="1214">
        <v>19541200</v>
      </c>
    </row>
    <row r="32" spans="1:5" x14ac:dyDescent="0.2">
      <c r="A32" s="1161" t="s">
        <v>43</v>
      </c>
      <c r="B32" s="1194" t="s">
        <v>959</v>
      </c>
      <c r="C32" s="1189" t="s">
        <v>958</v>
      </c>
      <c r="D32" s="1214">
        <v>127487183</v>
      </c>
    </row>
    <row r="33" spans="1:5" ht="16.5" thickBot="1" x14ac:dyDescent="0.25">
      <c r="A33" s="1178" t="s">
        <v>44</v>
      </c>
      <c r="B33" s="1207" t="s">
        <v>962</v>
      </c>
      <c r="C33" s="1201" t="s">
        <v>963</v>
      </c>
      <c r="D33" s="1217">
        <v>15950697</v>
      </c>
    </row>
    <row r="34" spans="1:5" ht="32.25" thickBot="1" x14ac:dyDescent="0.25">
      <c r="A34" s="1165" t="s">
        <v>45</v>
      </c>
      <c r="B34" s="1182" t="s">
        <v>916</v>
      </c>
      <c r="C34" s="1156" t="s">
        <v>925</v>
      </c>
      <c r="D34" s="1166">
        <f>SUM(D24:D33)</f>
        <v>226773560</v>
      </c>
    </row>
    <row r="35" spans="1:5" ht="31.5" x14ac:dyDescent="0.2">
      <c r="A35" s="1163" t="s">
        <v>46</v>
      </c>
      <c r="B35" s="1195" t="s">
        <v>920</v>
      </c>
      <c r="C35" s="1196" t="s">
        <v>917</v>
      </c>
      <c r="D35" s="1167">
        <v>35700000</v>
      </c>
    </row>
    <row r="36" spans="1:5" ht="31.5" x14ac:dyDescent="0.2">
      <c r="A36" s="1164" t="s">
        <v>833</v>
      </c>
      <c r="B36" s="1195" t="s">
        <v>921</v>
      </c>
      <c r="C36" s="1196" t="s">
        <v>918</v>
      </c>
      <c r="D36" s="1168">
        <v>33654000</v>
      </c>
    </row>
    <row r="37" spans="1:5" ht="16.5" thickBot="1" x14ac:dyDescent="0.25">
      <c r="A37" s="1164" t="s">
        <v>935</v>
      </c>
      <c r="B37" s="1197" t="s">
        <v>922</v>
      </c>
      <c r="C37" s="1198" t="s">
        <v>919</v>
      </c>
      <c r="D37" s="1168">
        <v>9248000</v>
      </c>
    </row>
    <row r="38" spans="1:5" ht="16.5" thickBot="1" x14ac:dyDescent="0.25">
      <c r="A38" s="1165" t="s">
        <v>936</v>
      </c>
      <c r="B38" s="1182" t="s">
        <v>923</v>
      </c>
      <c r="C38" s="1199" t="s">
        <v>924</v>
      </c>
      <c r="D38" s="1166">
        <f>SUM(D35:D37)</f>
        <v>78602000</v>
      </c>
      <c r="E38" s="264"/>
    </row>
    <row r="39" spans="1:5" x14ac:dyDescent="0.2">
      <c r="A39" s="1160" t="s">
        <v>937</v>
      </c>
      <c r="B39" s="1179" t="s">
        <v>928</v>
      </c>
      <c r="C39" s="1200" t="s">
        <v>932</v>
      </c>
      <c r="D39" s="1169">
        <v>148191400</v>
      </c>
    </row>
    <row r="40" spans="1:5" ht="16.5" thickBot="1" x14ac:dyDescent="0.25">
      <c r="A40" s="1170" t="s">
        <v>944</v>
      </c>
      <c r="B40" s="1183" t="s">
        <v>929</v>
      </c>
      <c r="C40" s="1201" t="s">
        <v>931</v>
      </c>
      <c r="D40" s="1171">
        <v>53927000</v>
      </c>
    </row>
    <row r="41" spans="1:5" ht="30" customHeight="1" thickBot="1" x14ac:dyDescent="0.25">
      <c r="A41" s="1172" t="s">
        <v>945</v>
      </c>
      <c r="B41" s="1184" t="s">
        <v>930</v>
      </c>
      <c r="C41" s="1202" t="s">
        <v>934</v>
      </c>
      <c r="D41" s="1216">
        <f>SUM(D39:D40)</f>
        <v>202118400</v>
      </c>
    </row>
    <row r="42" spans="1:5" ht="32.25" thickBot="1" x14ac:dyDescent="0.25">
      <c r="A42" s="1162" t="s">
        <v>946</v>
      </c>
      <c r="B42" s="1181" t="s">
        <v>933</v>
      </c>
      <c r="C42" s="1173" t="s">
        <v>949</v>
      </c>
      <c r="D42" s="1174">
        <f>D23+D34+D38+D41</f>
        <v>635476079</v>
      </c>
    </row>
    <row r="43" spans="1:5" x14ac:dyDescent="0.2">
      <c r="A43" s="1163" t="s">
        <v>947</v>
      </c>
      <c r="B43" s="1206" t="s">
        <v>938</v>
      </c>
      <c r="C43" s="1175" t="s">
        <v>943</v>
      </c>
      <c r="D43" s="1176">
        <v>58710960</v>
      </c>
    </row>
    <row r="44" spans="1:5" x14ac:dyDescent="0.2">
      <c r="A44" s="1161" t="s">
        <v>951</v>
      </c>
      <c r="B44" s="1195" t="s">
        <v>939</v>
      </c>
      <c r="C44" s="1196" t="s">
        <v>942</v>
      </c>
      <c r="D44" s="1214">
        <v>18746144</v>
      </c>
    </row>
    <row r="45" spans="1:5" ht="16.5" thickBot="1" x14ac:dyDescent="0.25">
      <c r="A45" s="1164" t="s">
        <v>952</v>
      </c>
      <c r="B45" s="1203" t="s">
        <v>940</v>
      </c>
      <c r="C45" s="1198" t="s">
        <v>941</v>
      </c>
      <c r="D45" s="1218">
        <v>48801690</v>
      </c>
    </row>
    <row r="46" spans="1:5" ht="32.25" thickBot="1" x14ac:dyDescent="0.25">
      <c r="A46" s="1162" t="s">
        <v>955</v>
      </c>
      <c r="B46" s="1181" t="s">
        <v>100</v>
      </c>
      <c r="C46" s="1204" t="s">
        <v>948</v>
      </c>
      <c r="D46" s="1174">
        <f>SUM(D43:D45)</f>
        <v>126258794</v>
      </c>
    </row>
    <row r="47" spans="1:5" ht="31.5" x14ac:dyDescent="0.2">
      <c r="A47" s="1160" t="s">
        <v>967</v>
      </c>
      <c r="B47" s="1179" t="s">
        <v>950</v>
      </c>
      <c r="C47" s="1208" t="s">
        <v>953</v>
      </c>
      <c r="D47" s="1219">
        <v>28288120</v>
      </c>
    </row>
    <row r="48" spans="1:5" ht="32.25" thickBot="1" x14ac:dyDescent="0.25">
      <c r="A48" s="1178" t="s">
        <v>968</v>
      </c>
      <c r="B48" s="1209" t="s">
        <v>960</v>
      </c>
      <c r="C48" s="1210" t="s">
        <v>961</v>
      </c>
      <c r="D48" s="1217">
        <v>12600000</v>
      </c>
    </row>
    <row r="49" spans="1:6" ht="32.25" thickBot="1" x14ac:dyDescent="0.25">
      <c r="A49" s="1162" t="s">
        <v>969</v>
      </c>
      <c r="B49" s="1181" t="s">
        <v>123</v>
      </c>
      <c r="C49" s="1204" t="s">
        <v>954</v>
      </c>
      <c r="D49" s="1174">
        <f>SUM(D47:D48)</f>
        <v>40888120</v>
      </c>
    </row>
    <row r="50" spans="1:6" ht="20.25" customHeight="1" thickBot="1" x14ac:dyDescent="0.25">
      <c r="A50" s="1162" t="s">
        <v>970</v>
      </c>
      <c r="B50" s="1181" t="s">
        <v>956</v>
      </c>
      <c r="C50" s="1211" t="s">
        <v>957</v>
      </c>
      <c r="D50" s="1174">
        <v>-24566831</v>
      </c>
    </row>
    <row r="51" spans="1:6" ht="16.5" thickBot="1" x14ac:dyDescent="0.25">
      <c r="A51" s="1162" t="s">
        <v>971</v>
      </c>
      <c r="B51" s="1517" t="s">
        <v>972</v>
      </c>
      <c r="C51" s="1518"/>
      <c r="D51" s="1220">
        <f>D16+D22+D42+D46+D49+D50</f>
        <v>1327776679</v>
      </c>
      <c r="F51" s="687"/>
    </row>
    <row r="53" spans="1:6" x14ac:dyDescent="0.25">
      <c r="B53" s="1191"/>
      <c r="C53" s="1190"/>
    </row>
    <row r="54" spans="1:6" x14ac:dyDescent="0.25">
      <c r="B54" s="1191"/>
      <c r="C54" s="1190"/>
    </row>
    <row r="55" spans="1:6" x14ac:dyDescent="0.25">
      <c r="B55" s="1192"/>
      <c r="C55" s="1193"/>
    </row>
    <row r="56" spans="1:6" x14ac:dyDescent="0.25">
      <c r="B56" s="1191"/>
      <c r="C56" s="1190"/>
    </row>
  </sheetData>
  <mergeCells count="7">
    <mergeCell ref="B51:C51"/>
    <mergeCell ref="A1:D1"/>
    <mergeCell ref="A3:D3"/>
    <mergeCell ref="A5:A7"/>
    <mergeCell ref="C5:C7"/>
    <mergeCell ref="D5:D7"/>
    <mergeCell ref="B5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8"/>
  <sheetViews>
    <sheetView zoomScale="130" zoomScaleNormal="130" workbookViewId="0">
      <selection activeCell="C9" sqref="C9"/>
    </sheetView>
  </sheetViews>
  <sheetFormatPr defaultRowHeight="12.75" x14ac:dyDescent="0.2"/>
  <cols>
    <col min="1" max="1" width="6.6640625" style="901" customWidth="1"/>
    <col min="2" max="2" width="43.33203125" style="901" customWidth="1"/>
    <col min="3" max="3" width="31.1640625" style="901" customWidth="1"/>
    <col min="4" max="4" width="14.83203125" style="927" customWidth="1"/>
    <col min="5" max="16384" width="9.33203125" style="901"/>
  </cols>
  <sheetData>
    <row r="1" spans="1:6" x14ac:dyDescent="0.2">
      <c r="A1" s="1532" t="str">
        <f>CONCATENATE("6. tájékoztató tábla ",ALAPADATOK!A7," ",ALAPADATOK!B7," ",ALAPADATOK!C7," ",ALAPADATOK!D7," ",ALAPADATOK!E7," ",ALAPADATOK!F7," ",ALAPADATOK!G7," ",ALAPADATOK!H7)</f>
        <v>6. tájékoztató tábla a 2 / 2021. ( II.15. ) önkormányzati rendelethez</v>
      </c>
      <c r="B1" s="1532"/>
      <c r="C1" s="1532"/>
      <c r="D1" s="1532"/>
    </row>
    <row r="3" spans="1:6" ht="45" customHeight="1" x14ac:dyDescent="0.25">
      <c r="A3" s="1533" t="s">
        <v>1031</v>
      </c>
      <c r="B3" s="1533"/>
      <c r="C3" s="1533"/>
      <c r="D3" s="1533"/>
    </row>
    <row r="4" spans="1:6" ht="17.25" customHeight="1" x14ac:dyDescent="0.25">
      <c r="A4" s="1046"/>
      <c r="B4" s="1046"/>
      <c r="C4" s="1046"/>
      <c r="D4" s="688"/>
    </row>
    <row r="5" spans="1:6" ht="13.5" thickBot="1" x14ac:dyDescent="0.25">
      <c r="A5" s="77"/>
      <c r="B5" s="77"/>
      <c r="C5" s="1534" t="s">
        <v>541</v>
      </c>
      <c r="D5" s="1534"/>
    </row>
    <row r="6" spans="1:6" ht="42.75" customHeight="1" thickBot="1" x14ac:dyDescent="0.25">
      <c r="A6" s="692" t="s">
        <v>70</v>
      </c>
      <c r="B6" s="693" t="s">
        <v>119</v>
      </c>
      <c r="C6" s="693" t="s">
        <v>120</v>
      </c>
      <c r="D6" s="694" t="s">
        <v>15</v>
      </c>
    </row>
    <row r="7" spans="1:6" ht="15.95" customHeight="1" x14ac:dyDescent="0.2">
      <c r="A7" s="690" t="s">
        <v>19</v>
      </c>
      <c r="B7" s="691" t="s">
        <v>405</v>
      </c>
      <c r="C7" s="247" t="s">
        <v>406</v>
      </c>
      <c r="D7" s="933">
        <v>6000000</v>
      </c>
      <c r="E7" s="982"/>
      <c r="F7" s="982"/>
    </row>
    <row r="8" spans="1:6" ht="15.95" customHeight="1" x14ac:dyDescent="0.2">
      <c r="A8" s="690" t="s">
        <v>20</v>
      </c>
      <c r="B8" s="915" t="s">
        <v>407</v>
      </c>
      <c r="C8" s="24" t="s">
        <v>406</v>
      </c>
      <c r="D8" s="37">
        <v>2500000</v>
      </c>
      <c r="E8" s="982"/>
      <c r="F8" s="982"/>
    </row>
    <row r="9" spans="1:6" ht="15.95" customHeight="1" x14ac:dyDescent="0.2">
      <c r="A9" s="690" t="s">
        <v>21</v>
      </c>
      <c r="B9" s="915" t="s">
        <v>408</v>
      </c>
      <c r="C9" s="24" t="s">
        <v>406</v>
      </c>
      <c r="D9" s="37">
        <v>1000000</v>
      </c>
      <c r="E9" s="982"/>
      <c r="F9" s="982"/>
    </row>
    <row r="10" spans="1:6" ht="15.95" customHeight="1" x14ac:dyDescent="0.2">
      <c r="A10" s="690" t="s">
        <v>22</v>
      </c>
      <c r="B10" s="915" t="s">
        <v>409</v>
      </c>
      <c r="C10" s="903" t="s">
        <v>406</v>
      </c>
      <c r="D10" s="37">
        <v>10250000</v>
      </c>
      <c r="E10" s="982"/>
      <c r="F10" s="982"/>
    </row>
    <row r="11" spans="1:6" ht="15.95" customHeight="1" x14ac:dyDescent="0.2">
      <c r="A11" s="690" t="s">
        <v>23</v>
      </c>
      <c r="B11" s="915" t="s">
        <v>410</v>
      </c>
      <c r="C11" s="247" t="s">
        <v>406</v>
      </c>
      <c r="D11" s="37">
        <v>300000</v>
      </c>
      <c r="E11" s="982"/>
      <c r="F11" s="982"/>
    </row>
    <row r="12" spans="1:6" ht="15.95" customHeight="1" x14ac:dyDescent="0.2">
      <c r="A12" s="690" t="s">
        <v>24</v>
      </c>
      <c r="B12" s="915" t="s">
        <v>411</v>
      </c>
      <c r="C12" s="903" t="s">
        <v>406</v>
      </c>
      <c r="D12" s="37">
        <v>1000000</v>
      </c>
      <c r="E12" s="982"/>
      <c r="F12" s="982"/>
    </row>
    <row r="13" spans="1:6" ht="15.95" customHeight="1" x14ac:dyDescent="0.2">
      <c r="A13" s="690" t="s">
        <v>25</v>
      </c>
      <c r="B13" s="915" t="s">
        <v>840</v>
      </c>
      <c r="C13" s="246" t="s">
        <v>406</v>
      </c>
      <c r="D13" s="37">
        <v>1000000</v>
      </c>
      <c r="E13" s="982"/>
      <c r="F13" s="982"/>
    </row>
    <row r="14" spans="1:6" ht="15.95" customHeight="1" x14ac:dyDescent="0.2">
      <c r="A14" s="690" t="s">
        <v>26</v>
      </c>
      <c r="B14" s="915" t="s">
        <v>1000</v>
      </c>
      <c r="C14" s="246" t="s">
        <v>406</v>
      </c>
      <c r="D14" s="37">
        <v>636000</v>
      </c>
      <c r="E14" s="982"/>
      <c r="F14" s="982"/>
    </row>
    <row r="15" spans="1:6" ht="15.95" customHeight="1" x14ac:dyDescent="0.2">
      <c r="A15" s="690" t="s">
        <v>27</v>
      </c>
      <c r="B15" s="915" t="s">
        <v>999</v>
      </c>
      <c r="C15" s="903" t="s">
        <v>406</v>
      </c>
      <c r="D15" s="37">
        <v>7746291</v>
      </c>
      <c r="E15" s="982"/>
      <c r="F15" s="982"/>
    </row>
    <row r="16" spans="1:6" ht="15.95" customHeight="1" x14ac:dyDescent="0.2">
      <c r="A16" s="690" t="s">
        <v>28</v>
      </c>
      <c r="B16" s="915" t="s">
        <v>998</v>
      </c>
      <c r="C16" s="903" t="s">
        <v>406</v>
      </c>
      <c r="D16" s="37">
        <v>3417664</v>
      </c>
      <c r="E16" s="982"/>
      <c r="F16" s="982"/>
    </row>
    <row r="17" spans="1:6" ht="15.95" customHeight="1" x14ac:dyDescent="0.2">
      <c r="A17" s="690" t="s">
        <v>29</v>
      </c>
      <c r="B17" s="915" t="s">
        <v>797</v>
      </c>
      <c r="C17" s="903" t="s">
        <v>406</v>
      </c>
      <c r="D17" s="37">
        <v>5327836</v>
      </c>
      <c r="E17" s="982"/>
      <c r="F17" s="982"/>
    </row>
    <row r="18" spans="1:6" ht="15.95" customHeight="1" x14ac:dyDescent="0.2">
      <c r="A18" s="690" t="s">
        <v>30</v>
      </c>
      <c r="B18" s="915" t="s">
        <v>798</v>
      </c>
      <c r="C18" s="903" t="s">
        <v>406</v>
      </c>
      <c r="D18" s="37">
        <v>2953846</v>
      </c>
      <c r="E18" s="982"/>
      <c r="F18" s="982"/>
    </row>
    <row r="19" spans="1:6" ht="15.95" customHeight="1" x14ac:dyDescent="0.2">
      <c r="A19" s="690" t="s">
        <v>31</v>
      </c>
      <c r="B19" s="915" t="s">
        <v>999</v>
      </c>
      <c r="C19" s="903" t="s">
        <v>412</v>
      </c>
      <c r="D19" s="37">
        <v>1883228</v>
      </c>
      <c r="E19" s="982"/>
      <c r="F19" s="982"/>
    </row>
    <row r="20" spans="1:6" ht="15.95" customHeight="1" x14ac:dyDescent="0.2">
      <c r="A20" s="690" t="s">
        <v>32</v>
      </c>
      <c r="B20" s="915" t="s">
        <v>998</v>
      </c>
      <c r="C20" s="903" t="s">
        <v>412</v>
      </c>
      <c r="D20" s="37">
        <v>1216767</v>
      </c>
      <c r="E20" s="982"/>
      <c r="F20" s="982"/>
    </row>
    <row r="21" spans="1:6" ht="15.95" customHeight="1" x14ac:dyDescent="0.2">
      <c r="A21" s="690" t="s">
        <v>33</v>
      </c>
      <c r="B21" s="915" t="s">
        <v>797</v>
      </c>
      <c r="C21" s="903" t="s">
        <v>412</v>
      </c>
      <c r="D21" s="37">
        <v>999592</v>
      </c>
      <c r="E21" s="982"/>
      <c r="F21" s="982"/>
    </row>
    <row r="22" spans="1:6" ht="15.95" customHeight="1" x14ac:dyDescent="0.2">
      <c r="A22" s="690" t="s">
        <v>34</v>
      </c>
      <c r="B22" s="915" t="s">
        <v>798</v>
      </c>
      <c r="C22" s="903" t="s">
        <v>412</v>
      </c>
      <c r="D22" s="37">
        <f>2835398-1023179</f>
        <v>1812219</v>
      </c>
      <c r="E22" s="982"/>
      <c r="F22" s="982"/>
    </row>
    <row r="23" spans="1:6" ht="15.95" customHeight="1" x14ac:dyDescent="0.2">
      <c r="A23" s="690" t="s">
        <v>35</v>
      </c>
      <c r="B23" s="915" t="s">
        <v>543</v>
      </c>
      <c r="C23" s="903" t="s">
        <v>406</v>
      </c>
      <c r="D23" s="37">
        <v>200000</v>
      </c>
    </row>
    <row r="24" spans="1:6" ht="15.95" customHeight="1" x14ac:dyDescent="0.2">
      <c r="A24" s="690" t="s">
        <v>36</v>
      </c>
      <c r="B24" s="915" t="s">
        <v>568</v>
      </c>
      <c r="C24" s="903" t="s">
        <v>406</v>
      </c>
      <c r="D24" s="37">
        <v>84000000</v>
      </c>
    </row>
    <row r="25" spans="1:6" ht="15.95" customHeight="1" x14ac:dyDescent="0.2">
      <c r="A25" s="690" t="s">
        <v>37</v>
      </c>
      <c r="B25" s="915" t="s">
        <v>570</v>
      </c>
      <c r="C25" s="903" t="s">
        <v>406</v>
      </c>
      <c r="D25" s="37">
        <v>500000</v>
      </c>
    </row>
    <row r="26" spans="1:6" ht="15.95" customHeight="1" x14ac:dyDescent="0.2">
      <c r="A26" s="690" t="s">
        <v>38</v>
      </c>
      <c r="B26" s="915" t="s">
        <v>670</v>
      </c>
      <c r="C26" s="903" t="s">
        <v>406</v>
      </c>
      <c r="D26" s="37">
        <v>46642000</v>
      </c>
    </row>
    <row r="27" spans="1:6" ht="15.95" customHeight="1" thickBot="1" x14ac:dyDescent="0.25">
      <c r="A27" s="690" t="s">
        <v>39</v>
      </c>
      <c r="B27" s="1099" t="s">
        <v>997</v>
      </c>
      <c r="C27" s="24" t="s">
        <v>406</v>
      </c>
      <c r="D27" s="1336">
        <v>754230</v>
      </c>
    </row>
    <row r="28" spans="1:6" ht="15.95" customHeight="1" thickBot="1" x14ac:dyDescent="0.25">
      <c r="A28" s="1535" t="s">
        <v>52</v>
      </c>
      <c r="B28" s="1536"/>
      <c r="C28" s="78"/>
      <c r="D28" s="689">
        <f>SUM(D7:D27)</f>
        <v>180139673</v>
      </c>
    </row>
  </sheetData>
  <mergeCells count="4">
    <mergeCell ref="A1:D1"/>
    <mergeCell ref="A3:D3"/>
    <mergeCell ref="C5:D5"/>
    <mergeCell ref="A28:B28"/>
  </mergeCells>
  <conditionalFormatting sqref="D28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L67"/>
  <sheetViews>
    <sheetView zoomScaleNormal="100" zoomScaleSheetLayoutView="85" zoomScalePageLayoutView="85" workbookViewId="0">
      <selection activeCell="D14" sqref="D14"/>
    </sheetView>
  </sheetViews>
  <sheetFormatPr defaultColWidth="10.6640625" defaultRowHeight="12.75" x14ac:dyDescent="0.2"/>
  <cols>
    <col min="1" max="1" width="10.6640625" style="963"/>
    <col min="2" max="2" width="42.33203125" style="963" customWidth="1"/>
    <col min="3" max="3" width="13" style="316" bestFit="1" customWidth="1"/>
    <col min="4" max="4" width="13.83203125" style="316" customWidth="1"/>
    <col min="5" max="5" width="14.83203125" style="316" customWidth="1"/>
    <col min="6" max="7" width="11.83203125" style="316" bestFit="1" customWidth="1"/>
    <col min="8" max="8" width="13.6640625" style="726" bestFit="1" customWidth="1"/>
    <col min="9" max="9" width="1.1640625" style="317" customWidth="1"/>
    <col min="10" max="11" width="12.6640625" style="963" bestFit="1" customWidth="1"/>
    <col min="12" max="12" width="13.33203125" style="963" bestFit="1" customWidth="1"/>
    <col min="13" max="14" width="11.83203125" style="963" bestFit="1" customWidth="1"/>
    <col min="15" max="15" width="15.1640625" style="318" bestFit="1" customWidth="1"/>
    <col min="16" max="16" width="15.1640625" style="963" customWidth="1"/>
    <col min="17" max="16384" width="10.6640625" style="963"/>
  </cols>
  <sheetData>
    <row r="1" spans="1:194" x14ac:dyDescent="0.2">
      <c r="A1" s="1556" t="str">
        <f>CONCATENATE("7. tájékoztató tábla ",ALAPADATOK!A7," ",ALAPADATOK!B7," ",ALAPADATOK!C7," ",ALAPADATOK!D7," ",ALAPADATOK!E7," ",ALAPADATOK!F7," ",ALAPADATOK!G7," ",ALAPADATOK!H7)</f>
        <v>7. tájékoztató tábla a 2 / 2021. ( II.15. ) önkormányzati rendelethez</v>
      </c>
      <c r="B1" s="1556"/>
      <c r="C1" s="1556"/>
      <c r="D1" s="1556"/>
      <c r="E1" s="1556"/>
      <c r="F1" s="1556"/>
      <c r="G1" s="1556"/>
      <c r="H1" s="1556"/>
      <c r="I1" s="1556"/>
      <c r="J1" s="1556"/>
      <c r="K1" s="1556"/>
      <c r="L1" s="1556"/>
      <c r="M1" s="1556"/>
      <c r="N1" s="1556"/>
      <c r="O1" s="1556"/>
    </row>
    <row r="2" spans="1:194" ht="12.75" customHeight="1" x14ac:dyDescent="0.2">
      <c r="B2" s="319"/>
      <c r="F2" s="320"/>
      <c r="J2" s="319"/>
      <c r="K2" s="1557" t="s">
        <v>836</v>
      </c>
      <c r="L2" s="1557"/>
      <c r="M2" s="1557"/>
      <c r="N2" s="1557"/>
      <c r="O2" s="1557"/>
    </row>
    <row r="3" spans="1:194" ht="17.25" customHeight="1" x14ac:dyDescent="0.35">
      <c r="A3" s="1558" t="s">
        <v>1001</v>
      </c>
      <c r="B3" s="1558"/>
      <c r="C3" s="1558"/>
      <c r="D3" s="1558"/>
      <c r="E3" s="1558"/>
      <c r="F3" s="1558"/>
      <c r="G3" s="1558"/>
      <c r="H3" s="1558"/>
      <c r="I3" s="1558"/>
      <c r="J3" s="1558"/>
      <c r="K3" s="1558"/>
      <c r="L3" s="1558"/>
      <c r="M3" s="1558"/>
      <c r="N3" s="1558"/>
      <c r="O3" s="1558"/>
      <c r="P3" s="974"/>
    </row>
    <row r="4" spans="1:194" ht="19.5" x14ac:dyDescent="0.35">
      <c r="A4" s="1559" t="s">
        <v>413</v>
      </c>
      <c r="B4" s="1559"/>
      <c r="C4" s="1559"/>
      <c r="D4" s="1559"/>
      <c r="E4" s="1559"/>
      <c r="F4" s="1559"/>
      <c r="G4" s="1559"/>
      <c r="H4" s="1559"/>
      <c r="I4" s="1559"/>
      <c r="J4" s="1559"/>
      <c r="K4" s="1559"/>
      <c r="L4" s="1559"/>
      <c r="M4" s="1559"/>
      <c r="N4" s="1559"/>
      <c r="O4" s="1559"/>
      <c r="P4" s="974"/>
    </row>
    <row r="5" spans="1:194" ht="0.75" customHeight="1" thickBot="1" x14ac:dyDescent="0.35">
      <c r="B5" s="325"/>
      <c r="C5" s="322"/>
      <c r="D5" s="322"/>
      <c r="E5" s="322"/>
      <c r="F5" s="322"/>
      <c r="G5" s="322"/>
      <c r="H5" s="727"/>
      <c r="I5" s="323"/>
      <c r="J5" s="324"/>
      <c r="K5" s="324"/>
      <c r="L5" s="324"/>
      <c r="M5" s="324"/>
      <c r="N5" s="324"/>
      <c r="O5" s="321" t="s">
        <v>378</v>
      </c>
      <c r="P5" s="974"/>
    </row>
    <row r="6" spans="1:194" ht="15.75" x14ac:dyDescent="0.25">
      <c r="A6" s="1560" t="s">
        <v>671</v>
      </c>
      <c r="B6" s="1563" t="s">
        <v>163</v>
      </c>
      <c r="C6" s="1566" t="s">
        <v>414</v>
      </c>
      <c r="D6" s="1567"/>
      <c r="E6" s="1567"/>
      <c r="F6" s="1567"/>
      <c r="G6" s="1567"/>
      <c r="H6" s="1568"/>
      <c r="I6" s="326"/>
      <c r="J6" s="1566" t="s">
        <v>415</v>
      </c>
      <c r="K6" s="1567"/>
      <c r="L6" s="1567"/>
      <c r="M6" s="1567"/>
      <c r="N6" s="1567"/>
      <c r="O6" s="1568"/>
      <c r="P6" s="974"/>
    </row>
    <row r="7" spans="1:194" x14ac:dyDescent="0.2">
      <c r="A7" s="1561"/>
      <c r="B7" s="1564"/>
      <c r="C7" s="327" t="s">
        <v>416</v>
      </c>
      <c r="D7" s="328" t="s">
        <v>391</v>
      </c>
      <c r="E7" s="328" t="s">
        <v>426</v>
      </c>
      <c r="F7" s="328" t="s">
        <v>417</v>
      </c>
      <c r="G7" s="328" t="s">
        <v>526</v>
      </c>
      <c r="H7" s="728" t="s">
        <v>1004</v>
      </c>
      <c r="I7" s="330"/>
      <c r="J7" s="327" t="s">
        <v>416</v>
      </c>
      <c r="K7" s="328" t="s">
        <v>391</v>
      </c>
      <c r="L7" s="328" t="s">
        <v>429</v>
      </c>
      <c r="M7" s="328" t="s">
        <v>121</v>
      </c>
      <c r="N7" s="328" t="s">
        <v>427</v>
      </c>
      <c r="O7" s="329" t="s">
        <v>1004</v>
      </c>
      <c r="P7" s="974"/>
    </row>
    <row r="8" spans="1:194" ht="13.5" thickBot="1" x14ac:dyDescent="0.25">
      <c r="A8" s="1562"/>
      <c r="B8" s="1565"/>
      <c r="C8" s="362" t="s">
        <v>418</v>
      </c>
      <c r="D8" s="363" t="s">
        <v>418</v>
      </c>
      <c r="E8" s="363" t="s">
        <v>418</v>
      </c>
      <c r="F8" s="363" t="s">
        <v>419</v>
      </c>
      <c r="G8" s="363"/>
      <c r="H8" s="729" t="s">
        <v>420</v>
      </c>
      <c r="I8" s="718"/>
      <c r="J8" s="362" t="s">
        <v>421</v>
      </c>
      <c r="K8" s="363" t="s">
        <v>397</v>
      </c>
      <c r="L8" s="363" t="s">
        <v>393</v>
      </c>
      <c r="M8" s="363"/>
      <c r="N8" s="363"/>
      <c r="O8" s="364" t="s">
        <v>422</v>
      </c>
      <c r="P8" s="974"/>
    </row>
    <row r="9" spans="1:194" ht="14.25" thickBot="1" x14ac:dyDescent="0.3">
      <c r="A9" s="1539" t="s">
        <v>672</v>
      </c>
      <c r="B9" s="1540"/>
      <c r="C9" s="1541"/>
      <c r="D9" s="1541"/>
      <c r="E9" s="1541"/>
      <c r="F9" s="1541"/>
      <c r="G9" s="1541"/>
      <c r="H9" s="1541"/>
      <c r="I9" s="1541"/>
      <c r="J9" s="1541"/>
      <c r="K9" s="1541"/>
      <c r="L9" s="1541"/>
      <c r="M9" s="1541"/>
      <c r="N9" s="1541"/>
      <c r="O9" s="154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332"/>
      <c r="AC9" s="332"/>
      <c r="AD9" s="332"/>
      <c r="AE9" s="332"/>
      <c r="AF9" s="332"/>
      <c r="AG9" s="332"/>
      <c r="AH9" s="332"/>
      <c r="AI9" s="332"/>
      <c r="AJ9" s="332"/>
      <c r="AK9" s="332"/>
      <c r="AL9" s="332"/>
      <c r="AM9" s="332"/>
      <c r="AN9" s="332"/>
      <c r="AO9" s="332"/>
      <c r="AP9" s="332"/>
      <c r="AQ9" s="332"/>
      <c r="AR9" s="332"/>
      <c r="AS9" s="332"/>
      <c r="AT9" s="332"/>
      <c r="AU9" s="332"/>
      <c r="AV9" s="332"/>
      <c r="AW9" s="332"/>
      <c r="AX9" s="332"/>
      <c r="AY9" s="332"/>
      <c r="AZ9" s="332"/>
      <c r="BA9" s="332"/>
      <c r="BB9" s="332"/>
      <c r="BC9" s="332"/>
      <c r="BD9" s="332"/>
      <c r="BE9" s="332"/>
      <c r="BF9" s="332"/>
      <c r="BG9" s="332"/>
      <c r="BH9" s="332"/>
      <c r="BI9" s="332"/>
      <c r="BJ9" s="332"/>
      <c r="BK9" s="332"/>
      <c r="BL9" s="332"/>
      <c r="BM9" s="332"/>
      <c r="BN9" s="332"/>
      <c r="BO9" s="332"/>
      <c r="BP9" s="332"/>
      <c r="BQ9" s="332"/>
      <c r="BR9" s="332"/>
      <c r="BS9" s="332"/>
      <c r="BT9" s="332"/>
      <c r="BU9" s="332"/>
      <c r="BV9" s="332"/>
      <c r="BW9" s="332"/>
      <c r="BX9" s="332"/>
      <c r="BY9" s="332"/>
      <c r="BZ9" s="332"/>
      <c r="CA9" s="332"/>
      <c r="CB9" s="332"/>
      <c r="CC9" s="332"/>
      <c r="CD9" s="332"/>
      <c r="CE9" s="332"/>
      <c r="CF9" s="332"/>
      <c r="CG9" s="332"/>
      <c r="CH9" s="332"/>
      <c r="CI9" s="332"/>
      <c r="CJ9" s="332"/>
      <c r="CK9" s="332"/>
      <c r="CL9" s="332"/>
      <c r="CM9" s="332"/>
      <c r="CN9" s="332"/>
      <c r="CO9" s="332"/>
      <c r="CP9" s="332"/>
      <c r="CQ9" s="332"/>
      <c r="CR9" s="332"/>
      <c r="CS9" s="332"/>
      <c r="CT9" s="332"/>
      <c r="CU9" s="332"/>
      <c r="CV9" s="332"/>
      <c r="CW9" s="332"/>
      <c r="CX9" s="332"/>
      <c r="CY9" s="332"/>
      <c r="CZ9" s="332"/>
      <c r="DA9" s="332"/>
      <c r="DB9" s="332"/>
      <c r="DC9" s="332"/>
      <c r="DD9" s="332"/>
      <c r="DE9" s="332"/>
      <c r="DF9" s="332"/>
      <c r="DG9" s="332"/>
      <c r="DH9" s="332"/>
      <c r="DI9" s="332"/>
      <c r="DJ9" s="332"/>
      <c r="DK9" s="332"/>
      <c r="DL9" s="332"/>
      <c r="DM9" s="332"/>
      <c r="DN9" s="332"/>
      <c r="DO9" s="332"/>
      <c r="DP9" s="332"/>
      <c r="DQ9" s="332"/>
      <c r="DR9" s="332"/>
      <c r="DS9" s="332"/>
      <c r="DT9" s="332"/>
      <c r="DU9" s="332"/>
      <c r="DV9" s="332"/>
      <c r="DW9" s="332"/>
      <c r="DX9" s="332"/>
      <c r="DY9" s="332"/>
      <c r="DZ9" s="332"/>
      <c r="EA9" s="332"/>
      <c r="EB9" s="332"/>
      <c r="EC9" s="332"/>
      <c r="ED9" s="332"/>
      <c r="EE9" s="332"/>
      <c r="EF9" s="332"/>
      <c r="EG9" s="332"/>
      <c r="EH9" s="332"/>
      <c r="EI9" s="332"/>
      <c r="EJ9" s="332"/>
      <c r="EK9" s="332"/>
      <c r="EL9" s="332"/>
      <c r="EM9" s="332"/>
      <c r="EN9" s="332"/>
      <c r="EO9" s="332"/>
      <c r="EP9" s="332"/>
      <c r="EQ9" s="332"/>
      <c r="ER9" s="332"/>
      <c r="ES9" s="332"/>
      <c r="ET9" s="332"/>
      <c r="EU9" s="332"/>
      <c r="EV9" s="332"/>
      <c r="EW9" s="332"/>
      <c r="EX9" s="332"/>
      <c r="EY9" s="332"/>
      <c r="EZ9" s="332"/>
      <c r="FA9" s="332"/>
      <c r="FB9" s="332"/>
      <c r="FC9" s="332"/>
      <c r="FD9" s="332"/>
      <c r="FE9" s="332"/>
      <c r="FF9" s="332"/>
      <c r="FG9" s="332"/>
      <c r="FH9" s="332"/>
      <c r="FI9" s="332"/>
      <c r="FJ9" s="332"/>
      <c r="FK9" s="332"/>
      <c r="FL9" s="332"/>
      <c r="FM9" s="332"/>
      <c r="FN9" s="332"/>
      <c r="FO9" s="332"/>
      <c r="FP9" s="332"/>
      <c r="FQ9" s="332"/>
      <c r="FR9" s="332"/>
      <c r="FS9" s="332"/>
      <c r="FT9" s="332"/>
      <c r="FU9" s="332"/>
      <c r="FV9" s="332"/>
      <c r="FW9" s="332"/>
      <c r="FX9" s="332"/>
      <c r="FY9" s="332"/>
      <c r="FZ9" s="332"/>
      <c r="GA9" s="332"/>
      <c r="GB9" s="332"/>
      <c r="GC9" s="332"/>
      <c r="GD9" s="332"/>
      <c r="GE9" s="332"/>
      <c r="GF9" s="332"/>
      <c r="GG9" s="332"/>
      <c r="GH9" s="332"/>
      <c r="GI9" s="332"/>
      <c r="GJ9" s="332"/>
      <c r="GK9" s="332"/>
      <c r="GL9" s="332"/>
    </row>
    <row r="10" spans="1:194" ht="38.25" x14ac:dyDescent="0.2">
      <c r="A10" s="710" t="s">
        <v>673</v>
      </c>
      <c r="B10" s="711" t="s">
        <v>679</v>
      </c>
      <c r="C10" s="702">
        <v>127000</v>
      </c>
      <c r="D10" s="699"/>
      <c r="E10" s="699"/>
      <c r="F10" s="699"/>
      <c r="G10" s="699"/>
      <c r="H10" s="331">
        <f t="shared" ref="H10:H16" si="0">SUM(C10:G10)</f>
        <v>127000</v>
      </c>
      <c r="I10" s="1121"/>
      <c r="J10" s="697">
        <v>32781559</v>
      </c>
      <c r="K10" s="696">
        <v>2869994</v>
      </c>
      <c r="L10" s="696"/>
      <c r="M10" s="696"/>
      <c r="N10" s="696"/>
      <c r="O10" s="977">
        <f t="shared" ref="O10:O16" si="1">SUM(J10:N10)</f>
        <v>35651553</v>
      </c>
      <c r="P10" s="974"/>
    </row>
    <row r="11" spans="1:194" x14ac:dyDescent="0.2">
      <c r="A11" s="712" t="s">
        <v>674</v>
      </c>
      <c r="B11" s="713" t="s">
        <v>680</v>
      </c>
      <c r="C11" s="964"/>
      <c r="D11" s="965"/>
      <c r="E11" s="965"/>
      <c r="F11" s="965"/>
      <c r="G11" s="965"/>
      <c r="H11" s="977">
        <f t="shared" si="0"/>
        <v>0</v>
      </c>
      <c r="I11" s="1121"/>
      <c r="J11" s="967">
        <v>500000</v>
      </c>
      <c r="K11" s="965"/>
      <c r="L11" s="965"/>
      <c r="M11" s="965"/>
      <c r="N11" s="965"/>
      <c r="O11" s="977">
        <f t="shared" si="1"/>
        <v>500000</v>
      </c>
      <c r="P11" s="974"/>
    </row>
    <row r="12" spans="1:194" ht="25.5" x14ac:dyDescent="0.2">
      <c r="A12" s="712" t="s">
        <v>675</v>
      </c>
      <c r="B12" s="713" t="s">
        <v>681</v>
      </c>
      <c r="C12" s="964">
        <v>30982865</v>
      </c>
      <c r="D12" s="965">
        <f>63000000+1499571</f>
        <v>64499571</v>
      </c>
      <c r="E12" s="965"/>
      <c r="F12" s="965"/>
      <c r="G12" s="965"/>
      <c r="H12" s="968">
        <f t="shared" si="0"/>
        <v>95482436</v>
      </c>
      <c r="I12" s="735"/>
      <c r="J12" s="967">
        <v>31791596</v>
      </c>
      <c r="K12" s="965">
        <v>7747000</v>
      </c>
      <c r="L12" s="965"/>
      <c r="M12" s="965"/>
      <c r="N12" s="965"/>
      <c r="O12" s="977">
        <f t="shared" si="1"/>
        <v>39538596</v>
      </c>
      <c r="P12" s="974"/>
    </row>
    <row r="13" spans="1:194" ht="25.5" x14ac:dyDescent="0.2">
      <c r="A13" s="712" t="s">
        <v>676</v>
      </c>
      <c r="B13" s="713" t="s">
        <v>430</v>
      </c>
      <c r="C13" s="964"/>
      <c r="D13" s="335"/>
      <c r="E13" s="965"/>
      <c r="F13" s="965"/>
      <c r="G13" s="965"/>
      <c r="H13" s="968">
        <f t="shared" si="0"/>
        <v>0</v>
      </c>
      <c r="I13" s="1122" t="e">
        <f>SUM(#REF!)</f>
        <v>#REF!</v>
      </c>
      <c r="J13" s="967">
        <v>9921632</v>
      </c>
      <c r="K13" s="965"/>
      <c r="L13" s="965"/>
      <c r="M13" s="965"/>
      <c r="N13" s="965"/>
      <c r="O13" s="977">
        <f t="shared" si="1"/>
        <v>9921632</v>
      </c>
      <c r="P13" s="974"/>
    </row>
    <row r="14" spans="1:194" ht="25.5" x14ac:dyDescent="0.2">
      <c r="A14" s="712" t="s">
        <v>677</v>
      </c>
      <c r="B14" s="713" t="s">
        <v>682</v>
      </c>
      <c r="C14" s="964">
        <f>1586619919+131199793+48966750-4715+107725</f>
        <v>1766889472</v>
      </c>
      <c r="D14" s="965"/>
      <c r="E14" s="965"/>
      <c r="F14" s="336"/>
      <c r="G14" s="336"/>
      <c r="H14" s="968">
        <f t="shared" si="0"/>
        <v>1766889472</v>
      </c>
      <c r="I14" s="1121"/>
      <c r="J14" s="967">
        <v>49106750</v>
      </c>
      <c r="K14" s="965"/>
      <c r="L14" s="336"/>
      <c r="M14" s="336"/>
      <c r="N14" s="336"/>
      <c r="O14" s="977">
        <f t="shared" si="1"/>
        <v>49106750</v>
      </c>
      <c r="P14" s="974"/>
    </row>
    <row r="15" spans="1:194" x14ac:dyDescent="0.2">
      <c r="A15" s="712" t="s">
        <v>1002</v>
      </c>
      <c r="B15" s="713" t="s">
        <v>1003</v>
      </c>
      <c r="C15" s="964"/>
      <c r="D15" s="1337"/>
      <c r="E15" s="965"/>
      <c r="F15" s="965"/>
      <c r="G15" s="965"/>
      <c r="H15" s="968">
        <f t="shared" ref="H15" si="2">SUM(C15:G15)</f>
        <v>0</v>
      </c>
      <c r="I15" s="1121"/>
      <c r="J15" s="972">
        <v>24566831</v>
      </c>
      <c r="K15" s="970"/>
      <c r="L15" s="970"/>
      <c r="M15" s="970"/>
      <c r="N15" s="970"/>
      <c r="O15" s="977">
        <f t="shared" ref="O15" si="3">SUM(J15:N15)</f>
        <v>24566831</v>
      </c>
      <c r="P15" s="974"/>
    </row>
    <row r="16" spans="1:194" ht="13.5" thickBot="1" x14ac:dyDescent="0.25">
      <c r="A16" s="1342" t="s">
        <v>678</v>
      </c>
      <c r="B16" s="1343" t="s">
        <v>428</v>
      </c>
      <c r="C16" s="1344"/>
      <c r="D16" s="1345"/>
      <c r="E16" s="1345"/>
      <c r="F16" s="1345"/>
      <c r="G16" s="1345">
        <v>847491815</v>
      </c>
      <c r="H16" s="958">
        <f t="shared" si="0"/>
        <v>847491815</v>
      </c>
      <c r="I16" s="1121"/>
      <c r="J16" s="972">
        <v>636000</v>
      </c>
      <c r="K16" s="970"/>
      <c r="L16" s="970">
        <v>1604046551</v>
      </c>
      <c r="M16" s="970"/>
      <c r="N16" s="970"/>
      <c r="O16" s="977">
        <f t="shared" si="1"/>
        <v>1604682551</v>
      </c>
      <c r="P16" s="974"/>
    </row>
    <row r="17" spans="1:16" s="974" customFormat="1" ht="14.25" thickBot="1" x14ac:dyDescent="0.3">
      <c r="A17" s="1543" t="s">
        <v>717</v>
      </c>
      <c r="B17" s="1544" t="s">
        <v>717</v>
      </c>
      <c r="C17" s="1540" t="s">
        <v>717</v>
      </c>
      <c r="D17" s="1540" t="s">
        <v>717</v>
      </c>
      <c r="E17" s="1540" t="s">
        <v>717</v>
      </c>
      <c r="F17" s="1540" t="s">
        <v>717</v>
      </c>
      <c r="G17" s="1540" t="s">
        <v>717</v>
      </c>
      <c r="H17" s="1540" t="s">
        <v>717</v>
      </c>
      <c r="I17" s="1541" t="s">
        <v>717</v>
      </c>
      <c r="J17" s="1540" t="s">
        <v>717</v>
      </c>
      <c r="K17" s="1540" t="s">
        <v>717</v>
      </c>
      <c r="L17" s="1540" t="s">
        <v>717</v>
      </c>
      <c r="M17" s="1540" t="s">
        <v>717</v>
      </c>
      <c r="N17" s="1540" t="s">
        <v>717</v>
      </c>
      <c r="O17" s="1545" t="s">
        <v>717</v>
      </c>
    </row>
    <row r="18" spans="1:16" s="974" customFormat="1" x14ac:dyDescent="0.2">
      <c r="A18" s="704" t="s">
        <v>718</v>
      </c>
      <c r="B18" s="705" t="s">
        <v>719</v>
      </c>
      <c r="C18" s="702"/>
      <c r="D18" s="699"/>
      <c r="E18" s="699"/>
      <c r="F18" s="699"/>
      <c r="G18" s="699"/>
      <c r="H18" s="331">
        <f t="shared" ref="H18:H24" si="4">SUM(C18:G18)</f>
        <v>0</v>
      </c>
      <c r="I18" s="973"/>
      <c r="J18" s="698">
        <v>37424697</v>
      </c>
      <c r="K18" s="699">
        <v>5000000</v>
      </c>
      <c r="L18" s="699"/>
      <c r="M18" s="699"/>
      <c r="N18" s="699"/>
      <c r="O18" s="331">
        <f t="shared" ref="O18:O24" si="5">SUM(J18:N18)</f>
        <v>42424697</v>
      </c>
    </row>
    <row r="19" spans="1:16" s="974" customFormat="1" ht="25.5" x14ac:dyDescent="0.2">
      <c r="A19" s="706" t="s">
        <v>720</v>
      </c>
      <c r="B19" s="707" t="s">
        <v>721</v>
      </c>
      <c r="C19" s="964"/>
      <c r="D19" s="965"/>
      <c r="E19" s="965"/>
      <c r="F19" s="965"/>
      <c r="G19" s="965"/>
      <c r="H19" s="968">
        <f t="shared" si="4"/>
        <v>0</v>
      </c>
      <c r="I19" s="973"/>
      <c r="J19" s="967">
        <v>47000</v>
      </c>
      <c r="K19" s="965"/>
      <c r="L19" s="965"/>
      <c r="M19" s="965"/>
      <c r="N19" s="965"/>
      <c r="O19" s="968">
        <f t="shared" si="5"/>
        <v>47000</v>
      </c>
    </row>
    <row r="20" spans="1:16" s="974" customFormat="1" x14ac:dyDescent="0.2">
      <c r="A20" s="706" t="s">
        <v>722</v>
      </c>
      <c r="B20" s="707" t="s">
        <v>723</v>
      </c>
      <c r="C20" s="964"/>
      <c r="D20" s="965"/>
      <c r="E20" s="965"/>
      <c r="F20" s="965"/>
      <c r="G20" s="965"/>
      <c r="H20" s="968">
        <f t="shared" si="4"/>
        <v>0</v>
      </c>
      <c r="I20" s="973"/>
      <c r="J20" s="967"/>
      <c r="K20" s="965">
        <v>250000</v>
      </c>
      <c r="L20" s="965"/>
      <c r="M20" s="965"/>
      <c r="N20" s="965"/>
      <c r="O20" s="968">
        <f t="shared" si="5"/>
        <v>250000</v>
      </c>
    </row>
    <row r="21" spans="1:16" s="974" customFormat="1" ht="25.5" x14ac:dyDescent="0.2">
      <c r="A21" s="706" t="s">
        <v>724</v>
      </c>
      <c r="B21" s="707" t="s">
        <v>725</v>
      </c>
      <c r="C21" s="964"/>
      <c r="D21" s="965"/>
      <c r="E21" s="965"/>
      <c r="F21" s="965"/>
      <c r="G21" s="965"/>
      <c r="H21" s="968">
        <f t="shared" si="4"/>
        <v>0</v>
      </c>
      <c r="I21" s="973"/>
      <c r="J21" s="967">
        <v>5592279</v>
      </c>
      <c r="K21" s="965">
        <v>46370421</v>
      </c>
      <c r="L21" s="965"/>
      <c r="M21" s="965"/>
      <c r="N21" s="965"/>
      <c r="O21" s="968">
        <f t="shared" si="5"/>
        <v>51962700</v>
      </c>
    </row>
    <row r="22" spans="1:16" s="974" customFormat="1" ht="25.5" x14ac:dyDescent="0.2">
      <c r="A22" s="1036" t="s">
        <v>825</v>
      </c>
      <c r="B22" s="1037" t="s">
        <v>826</v>
      </c>
      <c r="C22" s="1038"/>
      <c r="D22" s="965"/>
      <c r="E22" s="1039"/>
      <c r="F22" s="1039"/>
      <c r="G22" s="948"/>
      <c r="H22" s="968">
        <f>SUM(C22:G22)</f>
        <v>0</v>
      </c>
      <c r="I22" s="1011"/>
      <c r="J22" s="967">
        <v>337820</v>
      </c>
      <c r="K22" s="965"/>
      <c r="L22" s="948"/>
      <c r="M22" s="948"/>
      <c r="N22" s="948"/>
      <c r="O22" s="968">
        <f t="shared" si="5"/>
        <v>337820</v>
      </c>
    </row>
    <row r="23" spans="1:16" s="974" customFormat="1" ht="25.5" x14ac:dyDescent="0.2">
      <c r="A23" s="706" t="s">
        <v>726</v>
      </c>
      <c r="B23" s="707" t="s">
        <v>727</v>
      </c>
      <c r="C23" s="964">
        <v>25525800</v>
      </c>
      <c r="D23" s="965">
        <v>100000000</v>
      </c>
      <c r="E23" s="965"/>
      <c r="F23" s="965"/>
      <c r="G23" s="965"/>
      <c r="H23" s="968">
        <f t="shared" si="4"/>
        <v>125525800</v>
      </c>
      <c r="I23" s="973"/>
      <c r="J23" s="967">
        <v>28137400</v>
      </c>
      <c r="K23" s="965">
        <v>97670000</v>
      </c>
      <c r="L23" s="965"/>
      <c r="M23" s="965"/>
      <c r="N23" s="965"/>
      <c r="O23" s="968">
        <f t="shared" si="5"/>
        <v>125807400</v>
      </c>
    </row>
    <row r="24" spans="1:16" s="974" customFormat="1" ht="26.25" thickBot="1" x14ac:dyDescent="0.25">
      <c r="A24" s="708" t="s">
        <v>728</v>
      </c>
      <c r="B24" s="709" t="s">
        <v>729</v>
      </c>
      <c r="C24" s="703"/>
      <c r="D24" s="701">
        <v>3482179</v>
      </c>
      <c r="E24" s="701"/>
      <c r="F24" s="701"/>
      <c r="G24" s="701"/>
      <c r="H24" s="730">
        <f t="shared" si="4"/>
        <v>3482179</v>
      </c>
      <c r="I24" s="973"/>
      <c r="J24" s="725">
        <v>773900</v>
      </c>
      <c r="K24" s="701"/>
      <c r="L24" s="701"/>
      <c r="M24" s="701"/>
      <c r="N24" s="701"/>
      <c r="O24" s="730">
        <f t="shared" si="5"/>
        <v>773900</v>
      </c>
    </row>
    <row r="25" spans="1:16" ht="14.25" thickBot="1" x14ac:dyDescent="0.3">
      <c r="A25" s="1543" t="s">
        <v>683</v>
      </c>
      <c r="B25" s="1544"/>
      <c r="C25" s="1544"/>
      <c r="D25" s="1544"/>
      <c r="E25" s="1544"/>
      <c r="F25" s="1544"/>
      <c r="G25" s="1544"/>
      <c r="H25" s="1544"/>
      <c r="I25" s="1541"/>
      <c r="J25" s="1544"/>
      <c r="K25" s="1544"/>
      <c r="L25" s="1544"/>
      <c r="M25" s="1544"/>
      <c r="N25" s="1544"/>
      <c r="O25" s="1546"/>
      <c r="P25" s="974"/>
    </row>
    <row r="26" spans="1:16" ht="25.5" x14ac:dyDescent="0.2">
      <c r="A26" s="949" t="s">
        <v>684</v>
      </c>
      <c r="B26" s="950" t="s">
        <v>685</v>
      </c>
      <c r="C26" s="699">
        <v>507601</v>
      </c>
      <c r="D26" s="714"/>
      <c r="E26" s="714"/>
      <c r="F26" s="714"/>
      <c r="G26" s="714"/>
      <c r="H26" s="331">
        <f>SUM(C26:G26)</f>
        <v>507601</v>
      </c>
      <c r="I26" s="715"/>
      <c r="J26" s="698">
        <v>25486091</v>
      </c>
      <c r="K26" s="714"/>
      <c r="L26" s="714"/>
      <c r="M26" s="714"/>
      <c r="N26" s="714"/>
      <c r="O26" s="331">
        <f>SUM(J26:N26)</f>
        <v>25486091</v>
      </c>
      <c r="P26" s="974"/>
    </row>
    <row r="27" spans="1:16" ht="25.5" x14ac:dyDescent="0.2">
      <c r="A27" s="951" t="s">
        <v>686</v>
      </c>
      <c r="B27" s="947" t="s">
        <v>433</v>
      </c>
      <c r="C27" s="965"/>
      <c r="D27" s="965"/>
      <c r="E27" s="965"/>
      <c r="F27" s="965"/>
      <c r="G27" s="965"/>
      <c r="H27" s="968">
        <f>SUM(C27:G27)</f>
        <v>0</v>
      </c>
      <c r="I27" s="337"/>
      <c r="J27" s="967">
        <v>835000</v>
      </c>
      <c r="K27" s="336"/>
      <c r="L27" s="336"/>
      <c r="M27" s="336"/>
      <c r="N27" s="336"/>
      <c r="O27" s="968">
        <f>SUM(J27:N27)</f>
        <v>835000</v>
      </c>
      <c r="P27" s="974"/>
    </row>
    <row r="28" spans="1:16" ht="25.5" x14ac:dyDescent="0.2">
      <c r="A28" s="951" t="s">
        <v>687</v>
      </c>
      <c r="B28" s="947" t="s">
        <v>688</v>
      </c>
      <c r="C28" s="965">
        <v>1000000</v>
      </c>
      <c r="D28" s="336"/>
      <c r="E28" s="948"/>
      <c r="F28" s="336"/>
      <c r="G28" s="336"/>
      <c r="H28" s="968">
        <f>SUM(C28:G28)</f>
        <v>1000000</v>
      </c>
      <c r="I28" s="337"/>
      <c r="J28" s="946"/>
      <c r="K28" s="965">
        <v>359410</v>
      </c>
      <c r="L28" s="336"/>
      <c r="M28" s="336"/>
      <c r="N28" s="336"/>
      <c r="O28" s="968">
        <f>SUM(J28:N28)</f>
        <v>359410</v>
      </c>
      <c r="P28" s="974"/>
    </row>
    <row r="29" spans="1:16" ht="26.25" thickBot="1" x14ac:dyDescent="0.25">
      <c r="A29" s="952" t="s">
        <v>810</v>
      </c>
      <c r="B29" s="953" t="s">
        <v>809</v>
      </c>
      <c r="C29" s="701"/>
      <c r="D29" s="716"/>
      <c r="E29" s="700"/>
      <c r="F29" s="716"/>
      <c r="G29" s="716"/>
      <c r="H29" s="968">
        <f>SUM(C29:G29)</f>
        <v>0</v>
      </c>
      <c r="I29" s="717"/>
      <c r="J29" s="725">
        <v>9423700</v>
      </c>
      <c r="K29" s="701"/>
      <c r="L29" s="716"/>
      <c r="M29" s="716"/>
      <c r="N29" s="716"/>
      <c r="O29" s="968">
        <f>SUM(J29:N29)</f>
        <v>9423700</v>
      </c>
      <c r="P29" s="974"/>
    </row>
    <row r="30" spans="1:16" ht="14.25" thickBot="1" x14ac:dyDescent="0.3">
      <c r="A30" s="1547" t="s">
        <v>694</v>
      </c>
      <c r="B30" s="1548"/>
      <c r="C30" s="1549"/>
      <c r="D30" s="1549"/>
      <c r="E30" s="1549"/>
      <c r="F30" s="1549"/>
      <c r="G30" s="1549"/>
      <c r="H30" s="1549"/>
      <c r="I30" s="1549"/>
      <c r="J30" s="1549"/>
      <c r="K30" s="1549"/>
      <c r="L30" s="1549"/>
      <c r="M30" s="1549"/>
      <c r="N30" s="1549"/>
      <c r="O30" s="1550"/>
      <c r="P30" s="974"/>
    </row>
    <row r="31" spans="1:16" ht="25.5" x14ac:dyDescent="0.2">
      <c r="A31" s="949" t="s">
        <v>811</v>
      </c>
      <c r="B31" s="954" t="s">
        <v>812</v>
      </c>
      <c r="C31" s="698">
        <v>17763750</v>
      </c>
      <c r="D31" s="699">
        <v>21590900</v>
      </c>
      <c r="E31" s="702"/>
      <c r="F31" s="699"/>
      <c r="G31" s="699"/>
      <c r="H31" s="331">
        <f>SUM(C31:G31)</f>
        <v>39354650</v>
      </c>
      <c r="I31" s="337"/>
      <c r="J31" s="698">
        <v>49080136</v>
      </c>
      <c r="K31" s="699">
        <v>470243389</v>
      </c>
      <c r="L31" s="699"/>
      <c r="M31" s="699"/>
      <c r="N31" s="699"/>
      <c r="O31" s="331">
        <f>SUM(J31:N31)</f>
        <v>519323525</v>
      </c>
      <c r="P31" s="974"/>
    </row>
    <row r="32" spans="1:16" x14ac:dyDescent="0.2">
      <c r="A32" s="951" t="s">
        <v>689</v>
      </c>
      <c r="B32" s="955" t="s">
        <v>423</v>
      </c>
      <c r="C32" s="697"/>
      <c r="D32" s="696"/>
      <c r="E32" s="695"/>
      <c r="F32" s="696"/>
      <c r="G32" s="696"/>
      <c r="H32" s="977">
        <f>SUM(C32:G32)</f>
        <v>0</v>
      </c>
      <c r="I32" s="337"/>
      <c r="J32" s="697">
        <v>31945438</v>
      </c>
      <c r="K32" s="696">
        <v>381000</v>
      </c>
      <c r="L32" s="696"/>
      <c r="M32" s="696"/>
      <c r="N32" s="696"/>
      <c r="O32" s="977">
        <f>SUM(J32:N32)</f>
        <v>32326438</v>
      </c>
      <c r="P32" s="974"/>
    </row>
    <row r="33" spans="1:16" x14ac:dyDescent="0.2">
      <c r="A33" s="951" t="s">
        <v>690</v>
      </c>
      <c r="B33" s="955" t="s">
        <v>691</v>
      </c>
      <c r="C33" s="957"/>
      <c r="D33" s="965"/>
      <c r="E33" s="965"/>
      <c r="F33" s="965"/>
      <c r="G33" s="965"/>
      <c r="H33" s="968">
        <f>SUM(C33:G33)</f>
        <v>0</v>
      </c>
      <c r="I33" s="337"/>
      <c r="J33" s="967">
        <v>12658308</v>
      </c>
      <c r="K33" s="965">
        <v>1017270</v>
      </c>
      <c r="L33" s="965"/>
      <c r="M33" s="965"/>
      <c r="N33" s="965"/>
      <c r="O33" s="977">
        <f>SUM(J33:N33)</f>
        <v>13675578</v>
      </c>
      <c r="P33" s="974"/>
    </row>
    <row r="34" spans="1:16" ht="26.25" thickBot="1" x14ac:dyDescent="0.25">
      <c r="A34" s="952" t="s">
        <v>692</v>
      </c>
      <c r="B34" s="956" t="s">
        <v>693</v>
      </c>
      <c r="C34" s="725">
        <v>5890000</v>
      </c>
      <c r="D34" s="701"/>
      <c r="E34" s="701">
        <v>7000000</v>
      </c>
      <c r="F34" s="701"/>
      <c r="G34" s="701"/>
      <c r="H34" s="730">
        <f>SUM(C34:G34)</f>
        <v>12890000</v>
      </c>
      <c r="I34" s="736"/>
      <c r="J34" s="725">
        <v>58668853</v>
      </c>
      <c r="K34" s="701">
        <v>29960380</v>
      </c>
      <c r="L34" s="701"/>
      <c r="M34" s="701"/>
      <c r="N34" s="701"/>
      <c r="O34" s="958">
        <f>SUM(J34:N34)</f>
        <v>88629233</v>
      </c>
      <c r="P34" s="974"/>
    </row>
    <row r="35" spans="1:16" ht="15.75" thickBot="1" x14ac:dyDescent="0.3">
      <c r="A35" s="1551" t="s">
        <v>695</v>
      </c>
      <c r="B35" s="1552"/>
      <c r="C35" s="1552"/>
      <c r="D35" s="1552"/>
      <c r="E35" s="1552"/>
      <c r="F35" s="1552"/>
      <c r="G35" s="1552"/>
      <c r="H35" s="1552"/>
      <c r="I35" s="1552"/>
      <c r="J35" s="1552"/>
      <c r="K35" s="1552"/>
      <c r="L35" s="1552"/>
      <c r="M35" s="1552"/>
      <c r="N35" s="1552"/>
      <c r="O35" s="1553"/>
      <c r="P35" s="974"/>
    </row>
    <row r="36" spans="1:16" x14ac:dyDescent="0.2">
      <c r="A36" s="1338" t="s">
        <v>847</v>
      </c>
      <c r="B36" s="1339" t="s">
        <v>848</v>
      </c>
      <c r="C36" s="702">
        <v>22269503</v>
      </c>
      <c r="D36" s="1014"/>
      <c r="E36" s="1014"/>
      <c r="F36" s="1014"/>
      <c r="G36" s="1014"/>
      <c r="H36" s="331">
        <f t="shared" ref="H36:H42" si="6">SUM(C36:G36)</f>
        <v>22269503</v>
      </c>
      <c r="I36" s="1144"/>
      <c r="J36" s="1340">
        <v>22304482</v>
      </c>
      <c r="K36" s="699">
        <v>914000</v>
      </c>
      <c r="L36" s="1012"/>
      <c r="M36" s="1012"/>
      <c r="N36" s="1012"/>
      <c r="O36" s="331">
        <f t="shared" ref="O36:O42" si="7">SUM(J36:N36)</f>
        <v>23218482</v>
      </c>
      <c r="P36" s="974"/>
    </row>
    <row r="37" spans="1:16" x14ac:dyDescent="0.2">
      <c r="A37" s="1140" t="s">
        <v>827</v>
      </c>
      <c r="B37" s="1141" t="s">
        <v>828</v>
      </c>
      <c r="C37" s="695">
        <v>2244020</v>
      </c>
      <c r="D37" s="1142"/>
      <c r="E37" s="1142"/>
      <c r="F37" s="1142"/>
      <c r="G37" s="1142"/>
      <c r="H37" s="977">
        <f t="shared" ref="H37" si="8">SUM(C37:G37)</f>
        <v>2244020</v>
      </c>
      <c r="I37" s="1143"/>
      <c r="J37" s="1341">
        <v>32313615</v>
      </c>
      <c r="K37" s="696"/>
      <c r="L37" s="1139"/>
      <c r="M37" s="1139"/>
      <c r="N37" s="1139"/>
      <c r="O37" s="977">
        <f t="shared" ref="O37" si="9">SUM(J37:N37)</f>
        <v>32313615</v>
      </c>
      <c r="P37" s="974"/>
    </row>
    <row r="38" spans="1:16" x14ac:dyDescent="0.2">
      <c r="A38" s="1040" t="s">
        <v>696</v>
      </c>
      <c r="B38" s="1041" t="s">
        <v>1</v>
      </c>
      <c r="C38" s="964"/>
      <c r="D38" s="964"/>
      <c r="E38" s="964"/>
      <c r="F38" s="964"/>
      <c r="G38" s="964"/>
      <c r="H38" s="968">
        <f>SUM(C38:G38)</f>
        <v>0</v>
      </c>
      <c r="I38" s="338"/>
      <c r="J38" s="734">
        <v>47177800</v>
      </c>
      <c r="K38" s="965"/>
      <c r="L38" s="965"/>
      <c r="M38" s="965"/>
      <c r="N38" s="965"/>
      <c r="O38" s="977">
        <f>SUM(J38:N38)</f>
        <v>47177800</v>
      </c>
      <c r="P38" s="974"/>
    </row>
    <row r="39" spans="1:16" x14ac:dyDescent="0.2">
      <c r="A39" s="1040" t="s">
        <v>697</v>
      </c>
      <c r="B39" s="1041" t="s">
        <v>3</v>
      </c>
      <c r="C39" s="964"/>
      <c r="D39" s="965"/>
      <c r="E39" s="965"/>
      <c r="F39" s="965"/>
      <c r="G39" s="965"/>
      <c r="H39" s="968">
        <f t="shared" si="6"/>
        <v>0</v>
      </c>
      <c r="I39" s="337"/>
      <c r="J39" s="967">
        <v>3600000</v>
      </c>
      <c r="K39" s="965"/>
      <c r="L39" s="965"/>
      <c r="M39" s="965"/>
      <c r="N39" s="965"/>
      <c r="O39" s="977">
        <f t="shared" si="7"/>
        <v>3600000</v>
      </c>
      <c r="P39" s="974"/>
    </row>
    <row r="40" spans="1:16" x14ac:dyDescent="0.2">
      <c r="A40" s="1040" t="s">
        <v>814</v>
      </c>
      <c r="B40" s="1041" t="s">
        <v>813</v>
      </c>
      <c r="C40" s="964"/>
      <c r="D40" s="965"/>
      <c r="E40" s="965"/>
      <c r="F40" s="965"/>
      <c r="G40" s="965"/>
      <c r="H40" s="968">
        <f>SUM(C40:G40)</f>
        <v>0</v>
      </c>
      <c r="I40" s="966"/>
      <c r="J40" s="967">
        <v>14315587</v>
      </c>
      <c r="K40" s="965"/>
      <c r="L40" s="965"/>
      <c r="M40" s="965"/>
      <c r="N40" s="965"/>
      <c r="O40" s="977">
        <f>SUM(J40:N40)</f>
        <v>14315587</v>
      </c>
      <c r="P40" s="974"/>
    </row>
    <row r="41" spans="1:16" x14ac:dyDescent="0.2">
      <c r="A41" s="1040" t="s">
        <v>829</v>
      </c>
      <c r="B41" s="1041" t="s">
        <v>830</v>
      </c>
      <c r="C41" s="964"/>
      <c r="D41" s="948"/>
      <c r="E41" s="948"/>
      <c r="F41" s="948"/>
      <c r="G41" s="948"/>
      <c r="H41" s="968">
        <f>SUM(C41:G41)</f>
        <v>0</v>
      </c>
      <c r="I41" s="1013"/>
      <c r="J41" s="967">
        <v>5969000</v>
      </c>
      <c r="K41" s="965">
        <v>127000</v>
      </c>
      <c r="L41" s="948"/>
      <c r="M41" s="948"/>
      <c r="N41" s="948"/>
      <c r="O41" s="977">
        <f>SUM(J41:N41)</f>
        <v>6096000</v>
      </c>
      <c r="P41" s="974"/>
    </row>
    <row r="42" spans="1:16" ht="26.25" thickBot="1" x14ac:dyDescent="0.25">
      <c r="A42" s="980" t="s">
        <v>698</v>
      </c>
      <c r="B42" s="978" t="s">
        <v>699</v>
      </c>
      <c r="C42" s="703">
        <v>400000</v>
      </c>
      <c r="D42" s="701">
        <v>100000</v>
      </c>
      <c r="E42" s="701"/>
      <c r="F42" s="701"/>
      <c r="G42" s="701"/>
      <c r="H42" s="730">
        <f t="shared" si="6"/>
        <v>500000</v>
      </c>
      <c r="I42" s="717"/>
      <c r="J42" s="725">
        <v>633985</v>
      </c>
      <c r="K42" s="701">
        <v>166015</v>
      </c>
      <c r="L42" s="701"/>
      <c r="M42" s="701"/>
      <c r="N42" s="701"/>
      <c r="O42" s="958">
        <f t="shared" si="7"/>
        <v>800000</v>
      </c>
      <c r="P42" s="974"/>
    </row>
    <row r="43" spans="1:16" ht="14.25" thickBot="1" x14ac:dyDescent="0.3">
      <c r="A43" s="1543" t="s">
        <v>700</v>
      </c>
      <c r="B43" s="1544"/>
      <c r="C43" s="1541"/>
      <c r="D43" s="1541"/>
      <c r="E43" s="1541"/>
      <c r="F43" s="1541"/>
      <c r="G43" s="1541"/>
      <c r="H43" s="1541"/>
      <c r="I43" s="1541"/>
      <c r="J43" s="1541"/>
      <c r="K43" s="1541"/>
      <c r="L43" s="1541"/>
      <c r="M43" s="1541"/>
      <c r="N43" s="1541"/>
      <c r="O43" s="1542"/>
      <c r="P43" s="974"/>
    </row>
    <row r="44" spans="1:16" ht="25.5" x14ac:dyDescent="0.2">
      <c r="A44" s="724" t="s">
        <v>849</v>
      </c>
      <c r="B44" s="711" t="s">
        <v>850</v>
      </c>
      <c r="C44" s="702"/>
      <c r="D44" s="699"/>
      <c r="E44" s="699"/>
      <c r="F44" s="699"/>
      <c r="G44" s="699"/>
      <c r="H44" s="331">
        <f>SUM(C44:G44)</f>
        <v>0</v>
      </c>
      <c r="I44" s="1147"/>
      <c r="J44" s="698"/>
      <c r="K44" s="699">
        <v>2813609</v>
      </c>
      <c r="L44" s="699"/>
      <c r="M44" s="699"/>
      <c r="N44" s="699"/>
      <c r="O44" s="331">
        <f>SUM(J44:N44)</f>
        <v>2813609</v>
      </c>
      <c r="P44" s="974"/>
    </row>
    <row r="45" spans="1:16" x14ac:dyDescent="0.2">
      <c r="A45" s="1145" t="s">
        <v>701</v>
      </c>
      <c r="B45" s="1146" t="s">
        <v>624</v>
      </c>
      <c r="C45" s="720">
        <v>698500</v>
      </c>
      <c r="D45" s="719"/>
      <c r="E45" s="719"/>
      <c r="F45" s="719"/>
      <c r="G45" s="719"/>
      <c r="H45" s="977">
        <f>SUM(C45:G45)</f>
        <v>698500</v>
      </c>
      <c r="I45" s="337"/>
      <c r="J45" s="721">
        <v>6637128</v>
      </c>
      <c r="K45" s="719"/>
      <c r="L45" s="719"/>
      <c r="M45" s="719"/>
      <c r="N45" s="719"/>
      <c r="O45" s="977">
        <f>SUM(J45:N45)</f>
        <v>6637128</v>
      </c>
      <c r="P45" s="974"/>
    </row>
    <row r="46" spans="1:16" s="480" customFormat="1" x14ac:dyDescent="0.2">
      <c r="A46" s="979" t="s">
        <v>702</v>
      </c>
      <c r="B46" s="713" t="s">
        <v>424</v>
      </c>
      <c r="C46" s="969">
        <v>411176</v>
      </c>
      <c r="D46" s="733"/>
      <c r="E46" s="733"/>
      <c r="F46" s="733"/>
      <c r="G46" s="733"/>
      <c r="H46" s="968">
        <f>SUM(C46:G46)</f>
        <v>411176</v>
      </c>
      <c r="I46" s="576"/>
      <c r="J46" s="972">
        <v>42449867</v>
      </c>
      <c r="K46" s="970">
        <v>5911806</v>
      </c>
      <c r="L46" s="970"/>
      <c r="M46" s="970"/>
      <c r="N46" s="970"/>
      <c r="O46" s="977">
        <f>SUM(J46:N46)</f>
        <v>48361673</v>
      </c>
    </row>
    <row r="47" spans="1:16" s="480" customFormat="1" ht="39" thickBot="1" x14ac:dyDescent="0.25">
      <c r="A47" s="980" t="s">
        <v>703</v>
      </c>
      <c r="B47" s="978" t="s">
        <v>704</v>
      </c>
      <c r="C47" s="969">
        <v>30768216</v>
      </c>
      <c r="D47" s="970">
        <v>806423</v>
      </c>
      <c r="E47" s="733"/>
      <c r="F47" s="733"/>
      <c r="G47" s="733"/>
      <c r="H47" s="971">
        <f>SUM(C47:G47)</f>
        <v>31574639</v>
      </c>
      <c r="I47" s="576"/>
      <c r="J47" s="972">
        <v>52345692</v>
      </c>
      <c r="K47" s="970">
        <v>1569049</v>
      </c>
      <c r="L47" s="970"/>
      <c r="M47" s="970"/>
      <c r="N47" s="970"/>
      <c r="O47" s="977">
        <f>SUM(J47:N47)</f>
        <v>53914741</v>
      </c>
    </row>
    <row r="48" spans="1:16" s="480" customFormat="1" ht="14.25" thickBot="1" x14ac:dyDescent="0.3">
      <c r="A48" s="1543" t="s">
        <v>837</v>
      </c>
      <c r="B48" s="1544"/>
      <c r="C48" s="1541"/>
      <c r="D48" s="1541"/>
      <c r="E48" s="1541"/>
      <c r="F48" s="1541"/>
      <c r="G48" s="1541"/>
      <c r="H48" s="1541"/>
      <c r="I48" s="1541"/>
      <c r="J48" s="1541"/>
      <c r="K48" s="1541"/>
      <c r="L48" s="1541"/>
      <c r="M48" s="1541"/>
      <c r="N48" s="1541"/>
      <c r="O48" s="1542"/>
    </row>
    <row r="49" spans="1:16" s="480" customFormat="1" ht="13.5" thickBot="1" x14ac:dyDescent="0.25">
      <c r="A49" s="724" t="s">
        <v>838</v>
      </c>
      <c r="B49" s="711" t="s">
        <v>839</v>
      </c>
      <c r="C49" s="720"/>
      <c r="D49" s="719"/>
      <c r="E49" s="719"/>
      <c r="F49" s="719"/>
      <c r="G49" s="719"/>
      <c r="H49" s="977">
        <f>SUM(C49:G49)</f>
        <v>0</v>
      </c>
      <c r="I49" s="337"/>
      <c r="J49" s="721">
        <v>2661800</v>
      </c>
      <c r="K49" s="719">
        <v>220802416</v>
      </c>
      <c r="L49" s="719"/>
      <c r="M49" s="719"/>
      <c r="N49" s="719"/>
      <c r="O49" s="977">
        <f>SUM(J49:N49)</f>
        <v>223464216</v>
      </c>
    </row>
    <row r="50" spans="1:16" ht="14.25" thickBot="1" x14ac:dyDescent="0.3">
      <c r="A50" s="1543" t="s">
        <v>705</v>
      </c>
      <c r="B50" s="1544"/>
      <c r="C50" s="1541"/>
      <c r="D50" s="1541"/>
      <c r="E50" s="1541"/>
      <c r="F50" s="1541"/>
      <c r="G50" s="1541"/>
      <c r="H50" s="1541"/>
      <c r="I50" s="1541"/>
      <c r="J50" s="1541"/>
      <c r="K50" s="1541"/>
      <c r="L50" s="1541"/>
      <c r="M50" s="1541"/>
      <c r="N50" s="1541"/>
      <c r="O50" s="1542"/>
      <c r="P50" s="974"/>
    </row>
    <row r="51" spans="1:16" x14ac:dyDescent="0.2">
      <c r="A51" s="724" t="s">
        <v>706</v>
      </c>
      <c r="B51" s="711" t="s">
        <v>544</v>
      </c>
      <c r="C51" s="720"/>
      <c r="D51" s="719"/>
      <c r="E51" s="719"/>
      <c r="F51" s="719"/>
      <c r="G51" s="719"/>
      <c r="H51" s="977">
        <f t="shared" ref="H51:H54" si="10">SUM(C51:G51)</f>
        <v>0</v>
      </c>
      <c r="I51" s="337"/>
      <c r="J51" s="721">
        <v>300000</v>
      </c>
      <c r="K51" s="719"/>
      <c r="L51" s="719"/>
      <c r="M51" s="719"/>
      <c r="N51" s="719"/>
      <c r="O51" s="977">
        <f t="shared" ref="O51:O54" si="11">SUM(J51:N51)</f>
        <v>300000</v>
      </c>
      <c r="P51" s="974"/>
    </row>
    <row r="52" spans="1:16" x14ac:dyDescent="0.2">
      <c r="A52" s="979" t="s">
        <v>707</v>
      </c>
      <c r="B52" s="713" t="s">
        <v>527</v>
      </c>
      <c r="C52" s="969"/>
      <c r="D52" s="970"/>
      <c r="E52" s="970"/>
      <c r="F52" s="970"/>
      <c r="G52" s="970"/>
      <c r="H52" s="968">
        <f t="shared" si="10"/>
        <v>0</v>
      </c>
      <c r="I52" s="337"/>
      <c r="J52" s="972">
        <v>54125165</v>
      </c>
      <c r="K52" s="970"/>
      <c r="L52" s="970"/>
      <c r="M52" s="970"/>
      <c r="N52" s="970"/>
      <c r="O52" s="977">
        <f t="shared" si="11"/>
        <v>54125165</v>
      </c>
      <c r="P52" s="974"/>
    </row>
    <row r="53" spans="1:16" ht="25.5" x14ac:dyDescent="0.2">
      <c r="A53" s="979" t="s">
        <v>708</v>
      </c>
      <c r="B53" s="713" t="s">
        <v>709</v>
      </c>
      <c r="C53" s="969">
        <v>2840000</v>
      </c>
      <c r="D53" s="970"/>
      <c r="E53" s="970"/>
      <c r="F53" s="970"/>
      <c r="G53" s="970"/>
      <c r="H53" s="968">
        <f t="shared" si="10"/>
        <v>2840000</v>
      </c>
      <c r="I53" s="337"/>
      <c r="J53" s="972">
        <v>5211600</v>
      </c>
      <c r="K53" s="970">
        <v>5080000</v>
      </c>
      <c r="L53" s="970"/>
      <c r="M53" s="970"/>
      <c r="N53" s="970"/>
      <c r="O53" s="977">
        <f t="shared" si="11"/>
        <v>10291600</v>
      </c>
      <c r="P53" s="974"/>
    </row>
    <row r="54" spans="1:16" ht="26.25" thickBot="1" x14ac:dyDescent="0.25">
      <c r="A54" s="980" t="s">
        <v>710</v>
      </c>
      <c r="B54" s="978" t="s">
        <v>711</v>
      </c>
      <c r="C54" s="969">
        <v>500000</v>
      </c>
      <c r="D54" s="970"/>
      <c r="E54" s="970"/>
      <c r="F54" s="970"/>
      <c r="G54" s="970"/>
      <c r="H54" s="971">
        <f t="shared" si="10"/>
        <v>500000</v>
      </c>
      <c r="I54" s="337"/>
      <c r="J54" s="972">
        <v>56500000</v>
      </c>
      <c r="K54" s="970"/>
      <c r="L54" s="970"/>
      <c r="M54" s="970"/>
      <c r="N54" s="970"/>
      <c r="O54" s="977">
        <f t="shared" si="11"/>
        <v>56500000</v>
      </c>
      <c r="P54" s="974"/>
    </row>
    <row r="55" spans="1:16" ht="14.25" thickBot="1" x14ac:dyDescent="0.3">
      <c r="A55" s="1543" t="s">
        <v>712</v>
      </c>
      <c r="B55" s="1544"/>
      <c r="C55" s="1541"/>
      <c r="D55" s="1541"/>
      <c r="E55" s="1541"/>
      <c r="F55" s="1541"/>
      <c r="G55" s="1541"/>
      <c r="H55" s="1541"/>
      <c r="I55" s="1541"/>
      <c r="J55" s="1541"/>
      <c r="K55" s="1541"/>
      <c r="L55" s="1541"/>
      <c r="M55" s="1541"/>
      <c r="N55" s="1541"/>
      <c r="O55" s="1542"/>
      <c r="P55" s="974"/>
    </row>
    <row r="56" spans="1:16" ht="25.5" x14ac:dyDescent="0.2">
      <c r="A56" s="724" t="s">
        <v>713</v>
      </c>
      <c r="B56" s="711" t="s">
        <v>714</v>
      </c>
      <c r="C56" s="722">
        <v>50000000</v>
      </c>
      <c r="D56" s="719"/>
      <c r="E56" s="719">
        <f>385080000+6520000</f>
        <v>391600000</v>
      </c>
      <c r="F56" s="719"/>
      <c r="G56" s="719"/>
      <c r="H56" s="977">
        <f>SUM(C56:G56)</f>
        <v>441600000</v>
      </c>
      <c r="I56" s="337"/>
      <c r="J56" s="721"/>
      <c r="K56" s="719"/>
      <c r="L56" s="723"/>
      <c r="M56" s="719"/>
      <c r="N56" s="719"/>
      <c r="O56" s="977">
        <f>SUM(J56:N56)</f>
        <v>0</v>
      </c>
      <c r="P56" s="974"/>
    </row>
    <row r="57" spans="1:16" ht="26.25" thickBot="1" x14ac:dyDescent="0.25">
      <c r="A57" s="980" t="s">
        <v>715</v>
      </c>
      <c r="B57" s="978" t="s">
        <v>716</v>
      </c>
      <c r="C57" s="339"/>
      <c r="D57" s="970"/>
      <c r="E57" s="970"/>
      <c r="F57" s="970">
        <f>861503705+7058824</f>
        <v>868562529</v>
      </c>
      <c r="G57" s="970"/>
      <c r="H57" s="968">
        <f>SUM(C57:G57)</f>
        <v>868562529</v>
      </c>
      <c r="I57" s="337"/>
      <c r="J57" s="972">
        <f>12910676+107725</f>
        <v>13018401</v>
      </c>
      <c r="K57" s="475"/>
      <c r="L57" s="970"/>
      <c r="M57" s="970">
        <v>874993747</v>
      </c>
      <c r="N57" s="970">
        <f>109320327+7058824</f>
        <v>116379151</v>
      </c>
      <c r="O57" s="968">
        <f>SUM(J57:N57)</f>
        <v>1004391299</v>
      </c>
      <c r="P57" s="974"/>
    </row>
    <row r="58" spans="1:16" ht="13.5" thickBot="1" x14ac:dyDescent="0.25">
      <c r="A58" s="1537" t="s">
        <v>52</v>
      </c>
      <c r="B58" s="1538"/>
      <c r="C58" s="341">
        <f t="shared" ref="C58:H58" si="12">SUM(C10:C57)</f>
        <v>1958817903</v>
      </c>
      <c r="D58" s="341">
        <f t="shared" si="12"/>
        <v>190479073</v>
      </c>
      <c r="E58" s="341">
        <f t="shared" si="12"/>
        <v>398600000</v>
      </c>
      <c r="F58" s="341">
        <f t="shared" si="12"/>
        <v>868562529</v>
      </c>
      <c r="G58" s="341">
        <f t="shared" si="12"/>
        <v>847491815</v>
      </c>
      <c r="H58" s="731">
        <f t="shared" si="12"/>
        <v>4263951320</v>
      </c>
      <c r="I58" s="340" t="e">
        <f>SUM(I9:I13,I16:I27,I34:I36,I41:I52,I53:I57)</f>
        <v>#REF!</v>
      </c>
      <c r="J58" s="341">
        <f t="shared" ref="J58:O58" si="13">SUM(J10:J57)</f>
        <v>769279112</v>
      </c>
      <c r="K58" s="341">
        <f t="shared" si="13"/>
        <v>899252759</v>
      </c>
      <c r="L58" s="341">
        <f t="shared" si="13"/>
        <v>1604046551</v>
      </c>
      <c r="M58" s="341">
        <f t="shared" si="13"/>
        <v>874993747</v>
      </c>
      <c r="N58" s="341">
        <f t="shared" si="13"/>
        <v>116379151</v>
      </c>
      <c r="O58" s="341">
        <f t="shared" si="13"/>
        <v>4263951320</v>
      </c>
      <c r="P58" s="481">
        <f>O58-H58</f>
        <v>0</v>
      </c>
    </row>
    <row r="59" spans="1:16" ht="13.5" thickBot="1" x14ac:dyDescent="0.25">
      <c r="A59" s="1554" t="s">
        <v>425</v>
      </c>
      <c r="B59" s="1555"/>
      <c r="C59" s="342"/>
      <c r="D59" s="343"/>
      <c r="E59" s="343"/>
      <c r="F59" s="343"/>
      <c r="G59" s="343"/>
      <c r="H59" s="968"/>
      <c r="I59" s="334"/>
      <c r="J59" s="344"/>
      <c r="K59" s="965"/>
      <c r="L59" s="965">
        <f>SUM(L56:L57,L51:L54,L44:L47,L36:L42,L32:L34,L26:L28,L10:L16)</f>
        <v>1604046551</v>
      </c>
      <c r="M59" s="343"/>
      <c r="N59" s="343"/>
      <c r="O59" s="333">
        <f>SUM(J59:N59)</f>
        <v>1604046551</v>
      </c>
      <c r="P59" s="481"/>
    </row>
    <row r="60" spans="1:16" ht="13.5" thickBot="1" x14ac:dyDescent="0.25">
      <c r="A60" s="1537" t="s">
        <v>64</v>
      </c>
      <c r="B60" s="1538"/>
      <c r="C60" s="345">
        <f>C58-C59</f>
        <v>1958817903</v>
      </c>
      <c r="D60" s="346">
        <f t="shared" ref="D60:N60" si="14">D58-D59</f>
        <v>190479073</v>
      </c>
      <c r="E60" s="346">
        <f t="shared" si="14"/>
        <v>398600000</v>
      </c>
      <c r="F60" s="346">
        <f t="shared" si="14"/>
        <v>868562529</v>
      </c>
      <c r="G60" s="346">
        <f t="shared" si="14"/>
        <v>847491815</v>
      </c>
      <c r="H60" s="732">
        <f t="shared" si="14"/>
        <v>4263951320</v>
      </c>
      <c r="I60" s="347" t="e">
        <f t="shared" si="14"/>
        <v>#REF!</v>
      </c>
      <c r="J60" s="345">
        <f t="shared" si="14"/>
        <v>769279112</v>
      </c>
      <c r="K60" s="346">
        <f t="shared" si="14"/>
        <v>899252759</v>
      </c>
      <c r="L60" s="346">
        <f t="shared" si="14"/>
        <v>0</v>
      </c>
      <c r="M60" s="346">
        <f t="shared" si="14"/>
        <v>874993747</v>
      </c>
      <c r="N60" s="346">
        <f t="shared" si="14"/>
        <v>116379151</v>
      </c>
      <c r="O60" s="348">
        <f>O58-O59</f>
        <v>2659904769</v>
      </c>
      <c r="P60" s="481"/>
    </row>
    <row r="61" spans="1:16" x14ac:dyDescent="0.2">
      <c r="B61" s="349"/>
      <c r="C61" s="973">
        <f>C60-C62</f>
        <v>0</v>
      </c>
      <c r="D61" s="973">
        <f t="shared" ref="D61:N61" si="15">D60-D62</f>
        <v>0</v>
      </c>
      <c r="E61" s="973">
        <f t="shared" si="15"/>
        <v>0</v>
      </c>
      <c r="F61" s="973">
        <f t="shared" si="15"/>
        <v>0</v>
      </c>
      <c r="G61" s="973">
        <f t="shared" si="15"/>
        <v>0</v>
      </c>
      <c r="H61" s="973">
        <f t="shared" si="15"/>
        <v>0</v>
      </c>
      <c r="I61" s="973" t="e">
        <f t="shared" si="15"/>
        <v>#REF!</v>
      </c>
      <c r="J61" s="973">
        <f t="shared" si="15"/>
        <v>0</v>
      </c>
      <c r="K61" s="973">
        <f t="shared" si="15"/>
        <v>0</v>
      </c>
      <c r="L61" s="973">
        <f>L59-L62</f>
        <v>0</v>
      </c>
      <c r="M61" s="973">
        <f t="shared" si="15"/>
        <v>0</v>
      </c>
      <c r="N61" s="973">
        <f t="shared" si="15"/>
        <v>0</v>
      </c>
      <c r="O61" s="973">
        <f>O58-O62</f>
        <v>0</v>
      </c>
    </row>
    <row r="62" spans="1:16" x14ac:dyDescent="0.2">
      <c r="B62" s="349"/>
      <c r="C62" s="973">
        <f>'9.1. sz. mell.'!C9+'9.1. sz. mell.'!C18+'9.1. sz. mell.'!C39+'9.1. sz. mell.'!C57+'9.1. sz. mell.'!C80</f>
        <v>1958817903</v>
      </c>
      <c r="D62" s="973">
        <f>'9.1. sz. mell.'!C25+'9.1. sz. mell.'!C51+'9.1. sz. mell.'!C62</f>
        <v>190479073</v>
      </c>
      <c r="E62" s="973">
        <f>'9.1. sz. mell.'!C32</f>
        <v>398600000</v>
      </c>
      <c r="F62" s="973">
        <f>'9.1. sz. mell.'!C68</f>
        <v>868562529</v>
      </c>
      <c r="G62" s="973">
        <f>'9.1. sz. mell.'!C77</f>
        <v>847491815</v>
      </c>
      <c r="H62" s="735">
        <f>SUM(C62:G62)</f>
        <v>4263951320</v>
      </c>
      <c r="I62" s="350"/>
      <c r="J62" s="973">
        <f>'9.1. sz. mell.'!C95-'9.1. sz. mell.'!C113+'9.1. sz. mell.'!C142</f>
        <v>769279112</v>
      </c>
      <c r="K62" s="973">
        <f>'9.1. sz. mell.'!C116</f>
        <v>899252759</v>
      </c>
      <c r="L62" s="352">
        <f>'10.sz.m. int.összesítő'!C16</f>
        <v>1604046551</v>
      </c>
      <c r="M62" s="351">
        <f>'9.1. sz. mell.'!C131</f>
        <v>874993747</v>
      </c>
      <c r="N62" s="351">
        <f>'9.1. sz. mell.'!C113</f>
        <v>116379151</v>
      </c>
      <c r="O62" s="350">
        <f>SUM(J62:N62)</f>
        <v>4263951320</v>
      </c>
    </row>
    <row r="63" spans="1:16" x14ac:dyDescent="0.2">
      <c r="B63" s="349"/>
      <c r="C63" s="973"/>
      <c r="D63" s="973"/>
      <c r="E63" s="973"/>
      <c r="F63" s="973"/>
      <c r="G63" s="973"/>
      <c r="H63" s="735"/>
      <c r="I63" s="350"/>
      <c r="J63" s="354"/>
      <c r="K63" s="973"/>
      <c r="L63" s="353"/>
      <c r="M63" s="973"/>
      <c r="N63" s="973"/>
      <c r="O63" s="350"/>
    </row>
    <row r="64" spans="1:16" x14ac:dyDescent="0.2">
      <c r="B64" s="349"/>
      <c r="C64" s="973"/>
      <c r="D64" s="973"/>
      <c r="E64" s="973"/>
      <c r="F64" s="973"/>
      <c r="G64" s="973"/>
      <c r="H64" s="735"/>
      <c r="I64" s="350"/>
      <c r="J64" s="973"/>
      <c r="K64" s="973"/>
      <c r="L64" s="353"/>
      <c r="M64" s="973"/>
      <c r="N64" s="973"/>
      <c r="O64" s="350"/>
    </row>
    <row r="65" spans="2:15" x14ac:dyDescent="0.2">
      <c r="B65" s="349"/>
      <c r="C65" s="973"/>
      <c r="D65" s="973"/>
      <c r="E65" s="973"/>
      <c r="F65" s="973"/>
      <c r="G65" s="973"/>
      <c r="H65" s="735"/>
      <c r="I65" s="350"/>
      <c r="J65" s="973"/>
      <c r="K65" s="973"/>
      <c r="L65" s="353"/>
      <c r="M65" s="973"/>
      <c r="N65" s="973"/>
      <c r="O65" s="350"/>
    </row>
    <row r="66" spans="2:15" x14ac:dyDescent="0.2">
      <c r="B66" s="349"/>
      <c r="C66" s="973"/>
      <c r="D66" s="973"/>
      <c r="E66" s="973"/>
      <c r="F66" s="973"/>
      <c r="G66" s="973"/>
      <c r="H66" s="735"/>
      <c r="I66" s="350"/>
      <c r="J66" s="973"/>
      <c r="K66" s="973"/>
      <c r="L66" s="353"/>
      <c r="M66" s="973"/>
      <c r="N66" s="973"/>
      <c r="O66" s="350"/>
    </row>
    <row r="67" spans="2:15" x14ac:dyDescent="0.2">
      <c r="B67" s="349"/>
      <c r="C67" s="973"/>
      <c r="D67" s="973"/>
      <c r="E67" s="973"/>
      <c r="F67" s="973"/>
      <c r="G67" s="973"/>
      <c r="H67" s="735"/>
      <c r="I67" s="350"/>
      <c r="J67" s="973"/>
      <c r="K67" s="973"/>
      <c r="L67" s="353"/>
      <c r="M67" s="973"/>
      <c r="N67" s="973"/>
      <c r="O67" s="350"/>
    </row>
  </sheetData>
  <mergeCells count="20">
    <mergeCell ref="A1:O1"/>
    <mergeCell ref="K2:O2"/>
    <mergeCell ref="A3:O3"/>
    <mergeCell ref="A4:O4"/>
    <mergeCell ref="A6:A8"/>
    <mergeCell ref="B6:B8"/>
    <mergeCell ref="C6:H6"/>
    <mergeCell ref="J6:O6"/>
    <mergeCell ref="A60:B60"/>
    <mergeCell ref="A9:O9"/>
    <mergeCell ref="A17:O17"/>
    <mergeCell ref="A25:O25"/>
    <mergeCell ref="A30:O30"/>
    <mergeCell ref="A35:O35"/>
    <mergeCell ref="A43:O43"/>
    <mergeCell ref="A50:O50"/>
    <mergeCell ref="A55:O55"/>
    <mergeCell ref="A58:B58"/>
    <mergeCell ref="A59:B59"/>
    <mergeCell ref="A48:O48"/>
  </mergeCells>
  <printOptions horizontalCentered="1"/>
  <pageMargins left="0.7" right="0.7" top="0.75" bottom="0.75" header="0.3" footer="0.3"/>
  <pageSetup paperSize="9" scale="44" orientation="landscape" r:id="rId1"/>
  <headerFooter alignWithMargins="0"/>
  <rowBreaks count="1" manualBreakCount="1">
    <brk id="34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D15" sqref="D15"/>
    </sheetView>
  </sheetViews>
  <sheetFormatPr defaultRowHeight="15.75" x14ac:dyDescent="0.25"/>
  <cols>
    <col min="1" max="1" width="9" style="959" customWidth="1"/>
    <col min="2" max="2" width="66.33203125" style="959" bestFit="1" customWidth="1"/>
    <col min="3" max="3" width="15.5" style="960" hidden="1" customWidth="1"/>
    <col min="4" max="6" width="15.5" style="959" customWidth="1"/>
    <col min="7" max="16384" width="9.33203125" style="961"/>
  </cols>
  <sheetData>
    <row r="1" spans="1:6" x14ac:dyDescent="0.25">
      <c r="A1" s="1421" t="str">
        <f>CONCATENATE("8. tájékoztató tábla ",ALAPADATOK!A7," ",ALAPADATOK!B7," ",ALAPADATOK!C7," ",ALAPADATOK!D7," ",ALAPADATOK!E7," ",ALAPADATOK!F7," ",ALAPADATOK!G7," ",ALAPADATOK!H7)</f>
        <v>8. tájékoztató tábla a 2 / 2021. ( II.15. ) önkormányzati rendelethez</v>
      </c>
      <c r="B1" s="1421"/>
      <c r="C1" s="1421"/>
      <c r="D1" s="1421"/>
      <c r="E1" s="1421"/>
      <c r="F1" s="1421"/>
    </row>
    <row r="3" spans="1:6" ht="35.25" customHeight="1" x14ac:dyDescent="0.25">
      <c r="A3" s="1569" t="s">
        <v>1027</v>
      </c>
      <c r="B3" s="1569"/>
      <c r="C3" s="1569"/>
      <c r="D3" s="1569"/>
      <c r="E3" s="1569"/>
      <c r="F3" s="1569"/>
    </row>
    <row r="5" spans="1:6" ht="15.95" customHeight="1" x14ac:dyDescent="0.25">
      <c r="A5" s="1423" t="s">
        <v>16</v>
      </c>
      <c r="B5" s="1423"/>
      <c r="C5" s="1423"/>
      <c r="D5" s="1423"/>
      <c r="E5" s="1423"/>
      <c r="F5" s="961"/>
    </row>
    <row r="6" spans="1:6" ht="15.95" customHeight="1" thickBot="1" x14ac:dyDescent="0.3">
      <c r="A6" s="1422" t="s">
        <v>126</v>
      </c>
      <c r="B6" s="1422"/>
      <c r="D6" s="1042"/>
      <c r="E6" s="125"/>
      <c r="F6" s="125" t="s">
        <v>548</v>
      </c>
    </row>
    <row r="7" spans="1:6" ht="38.1" customHeight="1" thickBot="1" x14ac:dyDescent="0.3">
      <c r="A7" s="20" t="s">
        <v>70</v>
      </c>
      <c r="B7" s="464" t="s">
        <v>18</v>
      </c>
      <c r="C7" s="542" t="s">
        <v>613</v>
      </c>
      <c r="D7" s="542" t="s">
        <v>627</v>
      </c>
      <c r="E7" s="542" t="s">
        <v>738</v>
      </c>
      <c r="F7" s="542" t="s">
        <v>1032</v>
      </c>
    </row>
    <row r="8" spans="1:6" s="190" customFormat="1" ht="12" customHeight="1" thickBot="1" x14ac:dyDescent="0.25">
      <c r="A8" s="25" t="s">
        <v>434</v>
      </c>
      <c r="B8" s="300" t="s">
        <v>435</v>
      </c>
      <c r="C8" s="543" t="s">
        <v>436</v>
      </c>
      <c r="D8" s="185" t="s">
        <v>436</v>
      </c>
      <c r="E8" s="554" t="s">
        <v>486</v>
      </c>
      <c r="F8" s="554" t="s">
        <v>487</v>
      </c>
    </row>
    <row r="9" spans="1:6" s="191" customFormat="1" ht="12" customHeight="1" thickBot="1" x14ac:dyDescent="0.25">
      <c r="A9" s="17" t="s">
        <v>19</v>
      </c>
      <c r="B9" s="446" t="s">
        <v>614</v>
      </c>
      <c r="C9" s="544">
        <v>1350000000</v>
      </c>
      <c r="D9" s="544">
        <v>1600000000</v>
      </c>
      <c r="E9" s="544">
        <v>1610000000</v>
      </c>
      <c r="F9" s="544">
        <v>1620000000</v>
      </c>
    </row>
    <row r="10" spans="1:6" s="191" customFormat="1" ht="12" customHeight="1" thickBot="1" x14ac:dyDescent="0.25">
      <c r="A10" s="17" t="s">
        <v>20</v>
      </c>
      <c r="B10" s="449" t="s">
        <v>321</v>
      </c>
      <c r="C10" s="544">
        <v>181000000</v>
      </c>
      <c r="D10" s="544">
        <v>350000000</v>
      </c>
      <c r="E10" s="544">
        <v>320000000</v>
      </c>
      <c r="F10" s="544">
        <v>300000000</v>
      </c>
    </row>
    <row r="11" spans="1:6" s="191" customFormat="1" ht="12" customHeight="1" thickBot="1" x14ac:dyDescent="0.25">
      <c r="A11" s="17" t="s">
        <v>21</v>
      </c>
      <c r="B11" s="446" t="s">
        <v>328</v>
      </c>
      <c r="C11" s="544">
        <v>300000000</v>
      </c>
      <c r="D11" s="544">
        <v>190000000</v>
      </c>
      <c r="E11" s="544">
        <v>100000000</v>
      </c>
      <c r="F11" s="544">
        <v>100000000</v>
      </c>
    </row>
    <row r="12" spans="1:6" s="191" customFormat="1" ht="12" customHeight="1" thickBot="1" x14ac:dyDescent="0.25">
      <c r="A12" s="17" t="s">
        <v>136</v>
      </c>
      <c r="B12" s="446" t="s">
        <v>731</v>
      </c>
      <c r="C12" s="545">
        <f>SUM(C17:C19)+C13</f>
        <v>353500000</v>
      </c>
      <c r="D12" s="545">
        <f>D13+D16+D17+D18+D19</f>
        <v>404000000</v>
      </c>
      <c r="E12" s="545">
        <f>E13+E16+E17+E18+E19</f>
        <v>424000000</v>
      </c>
      <c r="F12" s="545">
        <f>F13+F16+F17+F18+F19</f>
        <v>444000000</v>
      </c>
    </row>
    <row r="13" spans="1:6" s="191" customFormat="1" ht="12" customHeight="1" x14ac:dyDescent="0.2">
      <c r="A13" s="12" t="s">
        <v>208</v>
      </c>
      <c r="B13" s="290" t="s">
        <v>730</v>
      </c>
      <c r="C13" s="546">
        <f>SUM(C14:C16)</f>
        <v>310000000</v>
      </c>
      <c r="D13" s="546">
        <f>D14+D15</f>
        <v>390000000</v>
      </c>
      <c r="E13" s="546">
        <f>E14+E15</f>
        <v>410000000</v>
      </c>
      <c r="F13" s="546">
        <f>F14+F15</f>
        <v>430000000</v>
      </c>
    </row>
    <row r="14" spans="1:6" s="191" customFormat="1" ht="12" customHeight="1" x14ac:dyDescent="0.2">
      <c r="A14" s="11" t="s">
        <v>211</v>
      </c>
      <c r="B14" s="291" t="s">
        <v>214</v>
      </c>
      <c r="C14" s="547">
        <v>78000000</v>
      </c>
      <c r="D14" s="547">
        <v>90000000</v>
      </c>
      <c r="E14" s="547">
        <v>90000000</v>
      </c>
      <c r="F14" s="547">
        <v>90000000</v>
      </c>
    </row>
    <row r="15" spans="1:6" s="191" customFormat="1" ht="12" customHeight="1" x14ac:dyDescent="0.2">
      <c r="A15" s="11" t="s">
        <v>212</v>
      </c>
      <c r="B15" s="648" t="s">
        <v>625</v>
      </c>
      <c r="C15" s="547">
        <v>232000000</v>
      </c>
      <c r="D15" s="547">
        <v>300000000</v>
      </c>
      <c r="E15" s="547">
        <v>320000000</v>
      </c>
      <c r="F15" s="547">
        <v>340000000</v>
      </c>
    </row>
    <row r="16" spans="1:6" s="191" customFormat="1" ht="12" customHeight="1" x14ac:dyDescent="0.2">
      <c r="A16" s="11" t="s">
        <v>213</v>
      </c>
      <c r="B16" s="291" t="s">
        <v>523</v>
      </c>
      <c r="C16" s="548"/>
      <c r="D16" s="548"/>
      <c r="E16" s="548"/>
      <c r="F16" s="548"/>
    </row>
    <row r="17" spans="1:11" s="191" customFormat="1" ht="12" customHeight="1" x14ac:dyDescent="0.2">
      <c r="A17" s="11" t="s">
        <v>525</v>
      </c>
      <c r="B17" s="291" t="s">
        <v>215</v>
      </c>
      <c r="C17" s="547">
        <v>28000000</v>
      </c>
      <c r="D17" s="547"/>
      <c r="E17" s="547"/>
      <c r="F17" s="547"/>
    </row>
    <row r="18" spans="1:11" s="191" customFormat="1" ht="12" customHeight="1" x14ac:dyDescent="0.2">
      <c r="A18" s="11" t="s">
        <v>534</v>
      </c>
      <c r="B18" s="291" t="s">
        <v>216</v>
      </c>
      <c r="C18" s="547">
        <v>4500000</v>
      </c>
      <c r="D18" s="547"/>
      <c r="E18" s="547"/>
      <c r="F18" s="547"/>
    </row>
    <row r="19" spans="1:11" s="191" customFormat="1" ht="12" customHeight="1" thickBot="1" x14ac:dyDescent="0.25">
      <c r="A19" s="13" t="s">
        <v>535</v>
      </c>
      <c r="B19" s="292" t="s">
        <v>217</v>
      </c>
      <c r="C19" s="549">
        <v>11000000</v>
      </c>
      <c r="D19" s="549">
        <v>14000000</v>
      </c>
      <c r="E19" s="549">
        <v>14000000</v>
      </c>
      <c r="F19" s="549">
        <v>14000000</v>
      </c>
    </row>
    <row r="20" spans="1:11" s="191" customFormat="1" ht="12" customHeight="1" thickBot="1" x14ac:dyDescent="0.25">
      <c r="A20" s="17" t="s">
        <v>23</v>
      </c>
      <c r="B20" s="446" t="s">
        <v>615</v>
      </c>
      <c r="C20" s="544">
        <v>440000000</v>
      </c>
      <c r="D20" s="544">
        <v>365000000</v>
      </c>
      <c r="E20" s="544">
        <v>365000000</v>
      </c>
      <c r="F20" s="544">
        <v>370000000</v>
      </c>
    </row>
    <row r="21" spans="1:11" s="191" customFormat="1" ht="12" customHeight="1" thickBot="1" x14ac:dyDescent="0.25">
      <c r="A21" s="17" t="s">
        <v>24</v>
      </c>
      <c r="B21" s="446" t="s">
        <v>10</v>
      </c>
      <c r="C21" s="544">
        <v>6000000</v>
      </c>
      <c r="D21" s="544">
        <v>20000000</v>
      </c>
      <c r="E21" s="544">
        <v>10000000</v>
      </c>
      <c r="F21" s="544">
        <v>5000000</v>
      </c>
    </row>
    <row r="22" spans="1:11" s="191" customFormat="1" ht="12" customHeight="1" thickBot="1" x14ac:dyDescent="0.25">
      <c r="A22" s="17" t="s">
        <v>143</v>
      </c>
      <c r="B22" s="446" t="s">
        <v>616</v>
      </c>
      <c r="C22" s="544">
        <v>2000000</v>
      </c>
      <c r="D22" s="544">
        <v>1200000</v>
      </c>
      <c r="E22" s="544">
        <v>1000000</v>
      </c>
      <c r="F22" s="544">
        <v>1000000</v>
      </c>
    </row>
    <row r="23" spans="1:11" s="191" customFormat="1" ht="12" customHeight="1" thickBot="1" x14ac:dyDescent="0.25">
      <c r="A23" s="17" t="s">
        <v>26</v>
      </c>
      <c r="B23" s="449" t="s">
        <v>617</v>
      </c>
      <c r="C23" s="544"/>
      <c r="D23" s="544"/>
      <c r="E23" s="544"/>
      <c r="F23" s="544"/>
    </row>
    <row r="24" spans="1:11" s="191" customFormat="1" ht="12" customHeight="1" thickBot="1" x14ac:dyDescent="0.25">
      <c r="A24" s="17" t="s">
        <v>27</v>
      </c>
      <c r="B24" s="446" t="s">
        <v>250</v>
      </c>
      <c r="C24" s="545">
        <f>+C9+C10+C11+C12+C20+C21+C22+C23</f>
        <v>2632500000</v>
      </c>
      <c r="D24" s="545">
        <f>SUM(D9:D12)+SUM(D20:D23)</f>
        <v>2930200000</v>
      </c>
      <c r="E24" s="545">
        <f>SUM(E9:E12)+SUM(E20:E23)</f>
        <v>2830000000</v>
      </c>
      <c r="F24" s="545">
        <f>SUM(F9:F12)+SUM(F20:F23)</f>
        <v>2840000000</v>
      </c>
      <c r="H24" s="737"/>
      <c r="I24" s="737"/>
      <c r="J24" s="737"/>
      <c r="K24" s="737"/>
    </row>
    <row r="25" spans="1:11" s="191" customFormat="1" ht="12" customHeight="1" thickBot="1" x14ac:dyDescent="0.25">
      <c r="A25" s="17" t="s">
        <v>28</v>
      </c>
      <c r="B25" s="446" t="s">
        <v>618</v>
      </c>
      <c r="C25" s="975">
        <v>400000000</v>
      </c>
      <c r="D25" s="975">
        <v>1800000000</v>
      </c>
      <c r="E25" s="975">
        <v>1800000000</v>
      </c>
      <c r="F25" s="975">
        <v>1800000000</v>
      </c>
      <c r="H25" s="737"/>
      <c r="I25" s="737"/>
      <c r="J25" s="737"/>
      <c r="K25" s="737"/>
    </row>
    <row r="26" spans="1:11" s="191" customFormat="1" ht="12" customHeight="1" thickBot="1" x14ac:dyDescent="0.25">
      <c r="A26" s="17" t="s">
        <v>29</v>
      </c>
      <c r="B26" s="446" t="s">
        <v>619</v>
      </c>
      <c r="C26" s="545">
        <f>+C24+C25</f>
        <v>3032500000</v>
      </c>
      <c r="D26" s="545">
        <f>D24+D25</f>
        <v>4730200000</v>
      </c>
      <c r="E26" s="545">
        <f>E24+E25</f>
        <v>4630000000</v>
      </c>
      <c r="F26" s="545">
        <f>F24+F25</f>
        <v>4640000000</v>
      </c>
      <c r="H26" s="737"/>
      <c r="I26" s="737"/>
      <c r="J26" s="737"/>
      <c r="K26" s="737"/>
    </row>
    <row r="27" spans="1:11" s="191" customFormat="1" ht="12" customHeight="1" x14ac:dyDescent="0.2">
      <c r="A27" s="282"/>
      <c r="B27" s="283"/>
      <c r="C27" s="550"/>
      <c r="D27" s="551"/>
      <c r="E27" s="552"/>
      <c r="F27" s="552"/>
      <c r="H27" s="737"/>
      <c r="I27" s="737"/>
      <c r="J27" s="738"/>
      <c r="K27" s="737"/>
    </row>
    <row r="28" spans="1:11" s="191" customFormat="1" ht="12" customHeight="1" x14ac:dyDescent="0.2">
      <c r="A28" s="1423" t="s">
        <v>47</v>
      </c>
      <c r="B28" s="1423"/>
      <c r="C28" s="1423"/>
      <c r="D28" s="1423"/>
      <c r="E28" s="1423"/>
      <c r="H28" s="737"/>
      <c r="I28" s="737"/>
      <c r="J28" s="737"/>
      <c r="K28" s="737"/>
    </row>
    <row r="29" spans="1:11" s="191" customFormat="1" ht="12" customHeight="1" thickBot="1" x14ac:dyDescent="0.25">
      <c r="A29" s="1424" t="s">
        <v>127</v>
      </c>
      <c r="B29" s="1424"/>
      <c r="C29" s="960"/>
      <c r="D29" s="1042"/>
      <c r="E29" s="125"/>
      <c r="F29" s="125" t="str">
        <f>F6</f>
        <v>Forintban!</v>
      </c>
      <c r="H29" s="737"/>
      <c r="I29" s="737"/>
      <c r="J29" s="737"/>
      <c r="K29" s="737"/>
    </row>
    <row r="30" spans="1:11" s="191" customFormat="1" ht="24" customHeight="1" thickBot="1" x14ac:dyDescent="0.25">
      <c r="A30" s="20" t="s">
        <v>17</v>
      </c>
      <c r="B30" s="21" t="s">
        <v>48</v>
      </c>
      <c r="C30" s="21" t="str">
        <f>+C7</f>
        <v>2019. évi</v>
      </c>
      <c r="D30" s="21" t="str">
        <f>+D7</f>
        <v>2022. évi</v>
      </c>
      <c r="E30" s="553" t="str">
        <f>+E7</f>
        <v>2023. évi</v>
      </c>
      <c r="F30" s="553" t="str">
        <f>+F7</f>
        <v>2024. évi</v>
      </c>
      <c r="H30" s="737"/>
      <c r="I30" s="737"/>
      <c r="J30" s="737"/>
      <c r="K30" s="737"/>
    </row>
    <row r="31" spans="1:11" s="191" customFormat="1" ht="12" customHeight="1" thickBot="1" x14ac:dyDescent="0.25">
      <c r="A31" s="184" t="s">
        <v>434</v>
      </c>
      <c r="B31" s="185" t="s">
        <v>435</v>
      </c>
      <c r="C31" s="185" t="s">
        <v>436</v>
      </c>
      <c r="D31" s="185" t="s">
        <v>436</v>
      </c>
      <c r="E31" s="554" t="s">
        <v>486</v>
      </c>
      <c r="F31" s="554" t="s">
        <v>487</v>
      </c>
    </row>
    <row r="32" spans="1:11" s="191" customFormat="1" ht="15" customHeight="1" thickBot="1" x14ac:dyDescent="0.25">
      <c r="A32" s="17" t="s">
        <v>19</v>
      </c>
      <c r="B32" s="22" t="s">
        <v>620</v>
      </c>
      <c r="C32" s="555">
        <v>2420500000</v>
      </c>
      <c r="D32" s="555">
        <v>2900000000</v>
      </c>
      <c r="E32" s="555">
        <v>2850000000</v>
      </c>
      <c r="F32" s="555">
        <v>2900000000</v>
      </c>
    </row>
    <row r="33" spans="1:7" ht="12" customHeight="1" thickBot="1" x14ac:dyDescent="0.3">
      <c r="A33" s="256" t="s">
        <v>20</v>
      </c>
      <c r="B33" s="556" t="s">
        <v>621</v>
      </c>
      <c r="C33" s="557">
        <f>+C34+C35+C36</f>
        <v>457000000</v>
      </c>
      <c r="D33" s="557">
        <f>D34+D35+D36</f>
        <v>830200000</v>
      </c>
      <c r="E33" s="557">
        <f>E34+E35+E36</f>
        <v>680000000</v>
      </c>
      <c r="F33" s="557">
        <f>F34+F35+F36</f>
        <v>540000000</v>
      </c>
    </row>
    <row r="34" spans="1:7" ht="12" customHeight="1" x14ac:dyDescent="0.25">
      <c r="A34" s="12" t="s">
        <v>103</v>
      </c>
      <c r="B34" s="5" t="s">
        <v>170</v>
      </c>
      <c r="C34" s="558">
        <v>145000000</v>
      </c>
      <c r="D34" s="558">
        <v>500000000</v>
      </c>
      <c r="E34" s="558">
        <v>400000000</v>
      </c>
      <c r="F34" s="558">
        <f>400000000-20000000</f>
        <v>380000000</v>
      </c>
    </row>
    <row r="35" spans="1:7" ht="12" customHeight="1" x14ac:dyDescent="0.25">
      <c r="A35" s="12" t="s">
        <v>104</v>
      </c>
      <c r="B35" s="9" t="s">
        <v>150</v>
      </c>
      <c r="C35" s="559">
        <v>292000000</v>
      </c>
      <c r="D35" s="559">
        <f>100000000-3200000+100000000+123400000</f>
        <v>320200000</v>
      </c>
      <c r="E35" s="559">
        <f>100000000-4300000+77000000+97300000</f>
        <v>270000000</v>
      </c>
      <c r="F35" s="559">
        <f>172500000-22500000</f>
        <v>150000000</v>
      </c>
    </row>
    <row r="36" spans="1:7" ht="12" customHeight="1" thickBot="1" x14ac:dyDescent="0.3">
      <c r="A36" s="12" t="s">
        <v>105</v>
      </c>
      <c r="B36" s="113" t="s">
        <v>172</v>
      </c>
      <c r="C36" s="559">
        <v>20000000</v>
      </c>
      <c r="D36" s="559">
        <v>10000000</v>
      </c>
      <c r="E36" s="559">
        <v>10000000</v>
      </c>
      <c r="F36" s="559">
        <v>10000000</v>
      </c>
    </row>
    <row r="37" spans="1:7" ht="12" customHeight="1" thickBot="1" x14ac:dyDescent="0.3">
      <c r="A37" s="17" t="s">
        <v>21</v>
      </c>
      <c r="B37" s="56" t="s">
        <v>458</v>
      </c>
      <c r="C37" s="560">
        <f>+C32+C33</f>
        <v>2877500000</v>
      </c>
      <c r="D37" s="560">
        <f>D32+D33</f>
        <v>3730200000</v>
      </c>
      <c r="E37" s="560">
        <f>E32+E33</f>
        <v>3530000000</v>
      </c>
      <c r="F37" s="560">
        <f>F32+F33</f>
        <v>3440000000</v>
      </c>
    </row>
    <row r="38" spans="1:7" ht="15" customHeight="1" thickBot="1" x14ac:dyDescent="0.3">
      <c r="A38" s="17" t="s">
        <v>22</v>
      </c>
      <c r="B38" s="56" t="s">
        <v>622</v>
      </c>
      <c r="C38" s="976">
        <v>155000000</v>
      </c>
      <c r="D38" s="976">
        <v>1000000000</v>
      </c>
      <c r="E38" s="976">
        <v>1100000000</v>
      </c>
      <c r="F38" s="976">
        <v>1200000000</v>
      </c>
    </row>
    <row r="39" spans="1:7" s="191" customFormat="1" ht="12.95" customHeight="1" thickBot="1" x14ac:dyDescent="0.25">
      <c r="A39" s="114" t="s">
        <v>23</v>
      </c>
      <c r="B39" s="177" t="s">
        <v>623</v>
      </c>
      <c r="C39" s="561">
        <f>+C37+C38</f>
        <v>3032500000</v>
      </c>
      <c r="D39" s="561">
        <f>D37+D38</f>
        <v>4730200000</v>
      </c>
      <c r="E39" s="561">
        <f>E37+E38</f>
        <v>4630000000</v>
      </c>
      <c r="F39" s="561">
        <f>F37+F38</f>
        <v>4640000000</v>
      </c>
    </row>
    <row r="40" spans="1:7" x14ac:dyDescent="0.25">
      <c r="C40" s="959"/>
      <c r="D40" s="649">
        <f>D26-D39</f>
        <v>0</v>
      </c>
      <c r="E40" s="649">
        <f>E26-E39</f>
        <v>0</v>
      </c>
      <c r="F40" s="649">
        <f>F26-F39</f>
        <v>0</v>
      </c>
    </row>
    <row r="41" spans="1:7" x14ac:dyDescent="0.25">
      <c r="C41" s="959"/>
    </row>
    <row r="42" spans="1:7" x14ac:dyDescent="0.25">
      <c r="C42" s="959"/>
    </row>
    <row r="43" spans="1:7" ht="16.5" customHeight="1" x14ac:dyDescent="0.25">
      <c r="C43" s="959"/>
    </row>
    <row r="44" spans="1:7" x14ac:dyDescent="0.25">
      <c r="C44" s="959"/>
    </row>
    <row r="45" spans="1:7" x14ac:dyDescent="0.25">
      <c r="C45" s="959"/>
    </row>
    <row r="46" spans="1:7" s="959" customFormat="1" x14ac:dyDescent="0.25">
      <c r="G46" s="961"/>
    </row>
    <row r="47" spans="1:7" s="959" customFormat="1" x14ac:dyDescent="0.25">
      <c r="G47" s="961"/>
    </row>
    <row r="48" spans="1:7" s="959" customFormat="1" x14ac:dyDescent="0.25">
      <c r="G48" s="961"/>
    </row>
    <row r="49" spans="7:7" s="959" customFormat="1" x14ac:dyDescent="0.25">
      <c r="G49" s="961"/>
    </row>
    <row r="50" spans="7:7" s="959" customFormat="1" x14ac:dyDescent="0.25">
      <c r="G50" s="961"/>
    </row>
    <row r="51" spans="7:7" s="959" customFormat="1" x14ac:dyDescent="0.25">
      <c r="G51" s="961"/>
    </row>
    <row r="52" spans="7:7" s="959" customFormat="1" x14ac:dyDescent="0.25">
      <c r="G52" s="961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D1" zoomScaleSheetLayoutView="100" workbookViewId="0">
      <selection activeCell="D16" sqref="D16"/>
    </sheetView>
  </sheetViews>
  <sheetFormatPr defaultColWidth="10.6640625" defaultRowHeight="12.75" x14ac:dyDescent="0.2"/>
  <cols>
    <col min="1" max="2" width="9.33203125" style="668" hidden="1" customWidth="1"/>
    <col min="3" max="3" width="58.1640625" style="668" hidden="1" customWidth="1"/>
    <col min="4" max="4" width="70.1640625" style="668" customWidth="1"/>
    <col min="5" max="5" width="14.33203125" style="668" customWidth="1"/>
    <col min="6" max="6" width="9.6640625" style="668" customWidth="1"/>
    <col min="7" max="7" width="10.6640625" style="668" customWidth="1"/>
    <col min="8" max="16384" width="10.6640625" style="668"/>
  </cols>
  <sheetData>
    <row r="1" spans="4:7" x14ac:dyDescent="0.2">
      <c r="D1" s="1570" t="str">
        <f>CONCATENATE("9. tájékoztató tábla ",ALAPADATOK!A7," ",ALAPADATOK!B7," ",ALAPADATOK!C7," ",ALAPADATOK!D7," ",ALAPADATOK!E7," ",ALAPADATOK!F7," ",ALAPADATOK!G7," ",ALAPADATOK!H7)</f>
        <v>9. tájékoztató tábla a 2 / 2021. ( II.15. ) önkormányzati rendelethez</v>
      </c>
      <c r="E1" s="1570"/>
      <c r="F1" s="307"/>
      <c r="G1" s="307"/>
    </row>
    <row r="2" spans="4:7" x14ac:dyDescent="0.2">
      <c r="D2" s="307"/>
      <c r="E2" s="1571"/>
      <c r="F2" s="1571"/>
      <c r="G2" s="307"/>
    </row>
    <row r="3" spans="4:7" x14ac:dyDescent="0.2">
      <c r="D3" s="307"/>
      <c r="E3" s="307"/>
      <c r="F3" s="307"/>
      <c r="G3" s="307"/>
    </row>
    <row r="4" spans="4:7" ht="19.5" x14ac:dyDescent="0.35">
      <c r="D4" s="1572" t="s">
        <v>641</v>
      </c>
      <c r="E4" s="1572"/>
      <c r="F4" s="308"/>
      <c r="G4" s="308"/>
    </row>
    <row r="5" spans="4:7" ht="19.5" x14ac:dyDescent="0.35">
      <c r="D5" s="1572"/>
      <c r="E5" s="1572"/>
      <c r="F5" s="308"/>
      <c r="G5" s="308"/>
    </row>
    <row r="6" spans="4:7" x14ac:dyDescent="0.2">
      <c r="D6" s="307"/>
      <c r="E6" s="669"/>
      <c r="F6" s="307"/>
      <c r="G6" s="307"/>
    </row>
    <row r="8" spans="4:7" ht="13.5" thickBot="1" x14ac:dyDescent="0.25"/>
    <row r="9" spans="4:7" ht="12.75" customHeight="1" x14ac:dyDescent="0.2">
      <c r="D9" s="1573" t="s">
        <v>2</v>
      </c>
      <c r="E9" s="1576" t="s">
        <v>741</v>
      </c>
    </row>
    <row r="10" spans="4:7" x14ac:dyDescent="0.2">
      <c r="D10" s="1574"/>
      <c r="E10" s="1577"/>
    </row>
    <row r="11" spans="4:7" ht="13.5" thickBot="1" x14ac:dyDescent="0.25">
      <c r="D11" s="1575"/>
      <c r="E11" s="1578"/>
    </row>
    <row r="12" spans="4:7" x14ac:dyDescent="0.2">
      <c r="D12" s="769" t="s">
        <v>1023</v>
      </c>
      <c r="E12" s="937">
        <v>22.5</v>
      </c>
    </row>
    <row r="13" spans="4:7" x14ac:dyDescent="0.2">
      <c r="D13" s="670" t="s">
        <v>740</v>
      </c>
      <c r="E13" s="938">
        <v>0</v>
      </c>
    </row>
    <row r="14" spans="4:7" s="309" customFormat="1" x14ac:dyDescent="0.2">
      <c r="D14" s="670" t="s">
        <v>636</v>
      </c>
      <c r="E14" s="938">
        <v>54</v>
      </c>
    </row>
    <row r="15" spans="4:7" s="309" customFormat="1" x14ac:dyDescent="0.2">
      <c r="D15" s="774" t="s">
        <v>742</v>
      </c>
      <c r="E15" s="938">
        <v>19.75</v>
      </c>
    </row>
    <row r="16" spans="4:7" s="309" customFormat="1" x14ac:dyDescent="0.2">
      <c r="D16" s="670" t="s">
        <v>740</v>
      </c>
      <c r="E16" s="939">
        <v>0</v>
      </c>
    </row>
    <row r="17" spans="4:5" s="309" customFormat="1" x14ac:dyDescent="0.2">
      <c r="D17" s="670" t="s">
        <v>637</v>
      </c>
      <c r="E17" s="940">
        <v>21</v>
      </c>
    </row>
    <row r="18" spans="4:5" s="309" customFormat="1" x14ac:dyDescent="0.2">
      <c r="D18" s="670" t="s">
        <v>740</v>
      </c>
      <c r="E18" s="938">
        <v>0</v>
      </c>
    </row>
    <row r="19" spans="4:5" s="309" customFormat="1" x14ac:dyDescent="0.2">
      <c r="D19" s="670" t="s">
        <v>638</v>
      </c>
      <c r="E19" s="940">
        <v>151</v>
      </c>
    </row>
    <row r="20" spans="4:5" s="309" customFormat="1" x14ac:dyDescent="0.2">
      <c r="D20" s="670" t="s">
        <v>1024</v>
      </c>
      <c r="E20" s="940">
        <v>0</v>
      </c>
    </row>
    <row r="21" spans="4:5" s="309" customFormat="1" x14ac:dyDescent="0.2">
      <c r="D21" s="775" t="s">
        <v>1025</v>
      </c>
      <c r="E21" s="940">
        <v>50</v>
      </c>
    </row>
    <row r="22" spans="4:5" s="776" customFormat="1" x14ac:dyDescent="0.2">
      <c r="D22" s="777" t="s">
        <v>1026</v>
      </c>
      <c r="E22" s="941">
        <v>2</v>
      </c>
    </row>
    <row r="23" spans="4:5" ht="13.5" thickBot="1" x14ac:dyDescent="0.25">
      <c r="D23" s="671" t="s">
        <v>533</v>
      </c>
      <c r="E23" s="942">
        <v>48.375</v>
      </c>
    </row>
    <row r="24" spans="4:5" ht="13.5" thickBot="1" x14ac:dyDescent="0.25">
      <c r="D24" s="672" t="s">
        <v>639</v>
      </c>
      <c r="E24" s="1407">
        <f>E12+E13+E14+E15+E16+E17+E18+E19+E20+E21+E22+E23</f>
        <v>368.625</v>
      </c>
    </row>
    <row r="25" spans="4:5" ht="13.5" thickBot="1" x14ac:dyDescent="0.25">
      <c r="D25" s="1408" t="s">
        <v>640</v>
      </c>
      <c r="E25" s="1407">
        <f>E12+E14+E17+E19+E23+E15</f>
        <v>316.625</v>
      </c>
    </row>
    <row r="26" spans="4:5" ht="13.5" thickBot="1" x14ac:dyDescent="0.25">
      <c r="D26" s="1409" t="s">
        <v>167</v>
      </c>
      <c r="E26" s="1410">
        <v>5</v>
      </c>
    </row>
    <row r="27" spans="4:5" ht="13.5" thickBot="1" x14ac:dyDescent="0.25">
      <c r="D27" s="672" t="s">
        <v>739</v>
      </c>
      <c r="E27" s="943">
        <f>SUM(E25:E26)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179" customWidth="1"/>
    <col min="4" max="9" width="0" style="189" hidden="1" customWidth="1"/>
    <col min="10" max="16384" width="9.33203125" style="189"/>
  </cols>
  <sheetData>
    <row r="1" spans="1:3" s="801" customFormat="1" x14ac:dyDescent="0.25">
      <c r="A1" s="1421" t="str">
        <f>CONCATENATE("1.5. melléklet"," ",ALAPADATOK!A7," ",ALAPADATOK!B7," ",ALAPADATOK!C7," ",ALAPADATOK!D7," ",ALAPADATOK!E7," ",ALAPADATOK!F7," ",ALAPADATOK!G7," ",ALAPADATOK!H7)</f>
        <v>1.5. melléklet a 2 / 2021. ( II.15. ) önkormányzati rendelethez</v>
      </c>
      <c r="B1" s="1421"/>
      <c r="C1" s="1421"/>
    </row>
    <row r="2" spans="1:3" s="961" customFormat="1" x14ac:dyDescent="0.25">
      <c r="A2" s="823"/>
      <c r="B2" s="823"/>
      <c r="C2" s="823"/>
    </row>
    <row r="3" spans="1:3" s="801" customFormat="1" x14ac:dyDescent="0.25">
      <c r="A3" s="1419" t="str">
        <f>CONCATENATE(ALAPADATOK!A3)</f>
        <v>Tiszavasvári Város Önkormányzat</v>
      </c>
      <c r="B3" s="1419"/>
      <c r="C3" s="1419"/>
    </row>
    <row r="4" spans="1:3" s="801" customFormat="1" x14ac:dyDescent="0.25">
      <c r="A4" s="1420" t="str">
        <f>CONCATENATE(ALAPADATOK!D7," ÉVI KÖLTSÉGVETÉS")</f>
        <v>2021. ÉVI KÖLTSÉGVETÉS</v>
      </c>
      <c r="B4" s="1420"/>
      <c r="C4" s="1420"/>
    </row>
    <row r="5" spans="1:3" s="801" customFormat="1" x14ac:dyDescent="0.25">
      <c r="A5" s="1420" t="s">
        <v>767</v>
      </c>
      <c r="B5" s="1420"/>
      <c r="C5" s="1420"/>
    </row>
    <row r="6" spans="1:3" s="801" customFormat="1" x14ac:dyDescent="0.25">
      <c r="A6" s="800"/>
      <c r="B6" s="800"/>
      <c r="C6" s="179" t="s">
        <v>1029</v>
      </c>
    </row>
    <row r="7" spans="1:3" ht="15.95" customHeight="1" x14ac:dyDescent="0.25">
      <c r="A7" s="1423" t="s">
        <v>16</v>
      </c>
      <c r="B7" s="1423"/>
      <c r="C7" s="1423"/>
    </row>
    <row r="8" spans="1:3" ht="15.95" customHeight="1" thickBot="1" x14ac:dyDescent="0.3">
      <c r="A8" s="1422" t="s">
        <v>126</v>
      </c>
      <c r="B8" s="1422"/>
      <c r="C8" s="125" t="s">
        <v>539</v>
      </c>
    </row>
    <row r="9" spans="1:3" ht="38.1" customHeight="1" thickBot="1" x14ac:dyDescent="0.3">
      <c r="A9" s="20" t="s">
        <v>70</v>
      </c>
      <c r="B9" s="21" t="s">
        <v>18</v>
      </c>
      <c r="C9" s="29" t="s">
        <v>851</v>
      </c>
    </row>
    <row r="10" spans="1:3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3" s="191" customFormat="1" ht="12" customHeight="1" thickBot="1" x14ac:dyDescent="0.25">
      <c r="A11" s="17" t="s">
        <v>19</v>
      </c>
      <c r="B11" s="18" t="s">
        <v>192</v>
      </c>
      <c r="C11" s="116">
        <f>+C12+C13+C16+C17+C18+C19</f>
        <v>0</v>
      </c>
    </row>
    <row r="12" spans="1:3" s="191" customFormat="1" ht="12" customHeight="1" x14ac:dyDescent="0.2">
      <c r="A12" s="12" t="s">
        <v>97</v>
      </c>
      <c r="B12" s="192" t="s">
        <v>193</v>
      </c>
      <c r="C12" s="118"/>
    </row>
    <row r="13" spans="1:3" s="191" customFormat="1" ht="12" customHeight="1" x14ac:dyDescent="0.2">
      <c r="A13" s="11" t="s">
        <v>98</v>
      </c>
      <c r="B13" s="193" t="s">
        <v>194</v>
      </c>
      <c r="C13" s="117"/>
    </row>
    <row r="14" spans="1:3" s="191" customFormat="1" ht="12" customHeight="1" x14ac:dyDescent="0.2">
      <c r="A14" s="11" t="s">
        <v>99</v>
      </c>
      <c r="B14" s="193" t="s">
        <v>820</v>
      </c>
      <c r="C14" s="117"/>
    </row>
    <row r="15" spans="1:3" s="191" customFormat="1" ht="12" customHeight="1" x14ac:dyDescent="0.2">
      <c r="A15" s="11" t="s">
        <v>818</v>
      </c>
      <c r="B15" s="193" t="s">
        <v>821</v>
      </c>
      <c r="C15" s="117"/>
    </row>
    <row r="16" spans="1:3" s="191" customFormat="1" ht="12" customHeight="1" x14ac:dyDescent="0.2">
      <c r="A16" s="11" t="s">
        <v>819</v>
      </c>
      <c r="B16" s="193" t="s">
        <v>822</v>
      </c>
      <c r="C16" s="117"/>
    </row>
    <row r="17" spans="1:3" s="191" customFormat="1" ht="12" customHeight="1" x14ac:dyDescent="0.2">
      <c r="A17" s="11" t="s">
        <v>100</v>
      </c>
      <c r="B17" s="193" t="s">
        <v>196</v>
      </c>
      <c r="C17" s="117"/>
    </row>
    <row r="18" spans="1:3" s="191" customFormat="1" ht="12" customHeight="1" x14ac:dyDescent="0.2">
      <c r="A18" s="11" t="s">
        <v>123</v>
      </c>
      <c r="B18" s="112" t="s">
        <v>437</v>
      </c>
      <c r="C18" s="117"/>
    </row>
    <row r="19" spans="1:3" s="191" customFormat="1" ht="12" customHeight="1" thickBot="1" x14ac:dyDescent="0.25">
      <c r="A19" s="13" t="s">
        <v>101</v>
      </c>
      <c r="B19" s="113" t="s">
        <v>438</v>
      </c>
      <c r="C19" s="117"/>
    </row>
    <row r="20" spans="1:3" s="191" customFormat="1" ht="12" customHeight="1" thickBot="1" x14ac:dyDescent="0.25">
      <c r="A20" s="17" t="s">
        <v>20</v>
      </c>
      <c r="B20" s="111" t="s">
        <v>197</v>
      </c>
      <c r="C20" s="116">
        <f>+C21+C22+C23+C24+C25</f>
        <v>0</v>
      </c>
    </row>
    <row r="21" spans="1:3" s="191" customFormat="1" ht="12" customHeight="1" x14ac:dyDescent="0.2">
      <c r="A21" s="12" t="s">
        <v>103</v>
      </c>
      <c r="B21" s="192" t="s">
        <v>198</v>
      </c>
      <c r="C21" s="118"/>
    </row>
    <row r="22" spans="1:3" s="191" customFormat="1" ht="12" customHeight="1" x14ac:dyDescent="0.2">
      <c r="A22" s="11" t="s">
        <v>104</v>
      </c>
      <c r="B22" s="193" t="s">
        <v>199</v>
      </c>
      <c r="C22" s="117"/>
    </row>
    <row r="23" spans="1:3" s="191" customFormat="1" ht="12" customHeight="1" x14ac:dyDescent="0.2">
      <c r="A23" s="11" t="s">
        <v>105</v>
      </c>
      <c r="B23" s="193" t="s">
        <v>367</v>
      </c>
      <c r="C23" s="117"/>
    </row>
    <row r="24" spans="1:3" s="191" customFormat="1" ht="12" customHeight="1" x14ac:dyDescent="0.2">
      <c r="A24" s="11" t="s">
        <v>106</v>
      </c>
      <c r="B24" s="193" t="s">
        <v>368</v>
      </c>
      <c r="C24" s="117"/>
    </row>
    <row r="25" spans="1:3" s="191" customFormat="1" ht="12" customHeight="1" x14ac:dyDescent="0.2">
      <c r="A25" s="11" t="s">
        <v>107</v>
      </c>
      <c r="B25" s="193" t="s">
        <v>200</v>
      </c>
      <c r="C25" s="117"/>
    </row>
    <row r="26" spans="1:3" s="191" customFormat="1" ht="12" customHeight="1" thickBot="1" x14ac:dyDescent="0.25">
      <c r="A26" s="13" t="s">
        <v>116</v>
      </c>
      <c r="B26" s="113" t="s">
        <v>201</v>
      </c>
      <c r="C26" s="119"/>
    </row>
    <row r="27" spans="1:3" s="191" customFormat="1" ht="12" customHeight="1" thickBot="1" x14ac:dyDescent="0.25">
      <c r="A27" s="17" t="s">
        <v>21</v>
      </c>
      <c r="B27" s="18" t="s">
        <v>202</v>
      </c>
      <c r="C27" s="116">
        <f>+C28+C29+C30+C31+C32</f>
        <v>0</v>
      </c>
    </row>
    <row r="28" spans="1:3" s="191" customFormat="1" ht="12" customHeight="1" x14ac:dyDescent="0.2">
      <c r="A28" s="12" t="s">
        <v>86</v>
      </c>
      <c r="B28" s="192" t="s">
        <v>203</v>
      </c>
      <c r="C28" s="118"/>
    </row>
    <row r="29" spans="1:3" s="191" customFormat="1" ht="12" customHeight="1" x14ac:dyDescent="0.2">
      <c r="A29" s="11" t="s">
        <v>87</v>
      </c>
      <c r="B29" s="193" t="s">
        <v>204</v>
      </c>
      <c r="C29" s="117"/>
    </row>
    <row r="30" spans="1:3" s="191" customFormat="1" ht="12" customHeight="1" x14ac:dyDescent="0.2">
      <c r="A30" s="11" t="s">
        <v>88</v>
      </c>
      <c r="B30" s="193" t="s">
        <v>369</v>
      </c>
      <c r="C30" s="117"/>
    </row>
    <row r="31" spans="1:3" s="191" customFormat="1" ht="12" customHeight="1" x14ac:dyDescent="0.2">
      <c r="A31" s="11" t="s">
        <v>89</v>
      </c>
      <c r="B31" s="193" t="s">
        <v>370</v>
      </c>
      <c r="C31" s="117"/>
    </row>
    <row r="32" spans="1:3" s="191" customFormat="1" ht="12" customHeight="1" x14ac:dyDescent="0.2">
      <c r="A32" s="11" t="s">
        <v>134</v>
      </c>
      <c r="B32" s="193" t="s">
        <v>205</v>
      </c>
      <c r="C32" s="117"/>
    </row>
    <row r="33" spans="1:3" s="191" customFormat="1" ht="12" customHeight="1" thickBot="1" x14ac:dyDescent="0.25">
      <c r="A33" s="13" t="s">
        <v>135</v>
      </c>
      <c r="B33" s="194" t="s">
        <v>206</v>
      </c>
      <c r="C33" s="119"/>
    </row>
    <row r="34" spans="1:3" s="191" customFormat="1" ht="12" customHeight="1" thickBot="1" x14ac:dyDescent="0.25">
      <c r="A34" s="17" t="s">
        <v>136</v>
      </c>
      <c r="B34" s="18" t="s">
        <v>207</v>
      </c>
      <c r="C34" s="121">
        <f>+C35+C39+C40</f>
        <v>0</v>
      </c>
    </row>
    <row r="35" spans="1:3" s="191" customFormat="1" ht="12" customHeight="1" x14ac:dyDescent="0.2">
      <c r="A35" s="12" t="s">
        <v>208</v>
      </c>
      <c r="B35" s="192" t="s">
        <v>626</v>
      </c>
      <c r="C35" s="187">
        <f>C36+C37</f>
        <v>0</v>
      </c>
    </row>
    <row r="36" spans="1:3" s="191" customFormat="1" ht="12" customHeight="1" x14ac:dyDescent="0.2">
      <c r="A36" s="11" t="s">
        <v>209</v>
      </c>
      <c r="B36" s="193" t="s">
        <v>214</v>
      </c>
      <c r="C36" s="117"/>
    </row>
    <row r="37" spans="1:3" s="191" customFormat="1" ht="12" customHeight="1" x14ac:dyDescent="0.2">
      <c r="A37" s="11" t="s">
        <v>210</v>
      </c>
      <c r="B37" s="250" t="s">
        <v>625</v>
      </c>
      <c r="C37" s="117"/>
    </row>
    <row r="38" spans="1:3" s="191" customFormat="1" ht="12" customHeight="1" x14ac:dyDescent="0.2">
      <c r="A38" s="11" t="s">
        <v>211</v>
      </c>
      <c r="B38" s="193" t="s">
        <v>523</v>
      </c>
      <c r="C38" s="117"/>
    </row>
    <row r="39" spans="1:3" s="191" customFormat="1" ht="12" customHeight="1" x14ac:dyDescent="0.2">
      <c r="A39" s="11" t="s">
        <v>213</v>
      </c>
      <c r="B39" s="193" t="s">
        <v>216</v>
      </c>
      <c r="C39" s="117"/>
    </row>
    <row r="40" spans="1:3" s="191" customFormat="1" ht="12" customHeight="1" thickBot="1" x14ac:dyDescent="0.25">
      <c r="A40" s="13" t="s">
        <v>525</v>
      </c>
      <c r="B40" s="194" t="s">
        <v>217</v>
      </c>
      <c r="C40" s="119"/>
    </row>
    <row r="41" spans="1:3" s="191" customFormat="1" ht="12" customHeight="1" thickBot="1" x14ac:dyDescent="0.25">
      <c r="A41" s="17" t="s">
        <v>23</v>
      </c>
      <c r="B41" s="18" t="s">
        <v>439</v>
      </c>
      <c r="C41" s="116">
        <f>SUM(C42:C52)</f>
        <v>0</v>
      </c>
    </row>
    <row r="42" spans="1:3" s="191" customFormat="1" ht="12" customHeight="1" x14ac:dyDescent="0.2">
      <c r="A42" s="12" t="s">
        <v>90</v>
      </c>
      <c r="B42" s="192" t="s">
        <v>220</v>
      </c>
      <c r="C42" s="118"/>
    </row>
    <row r="43" spans="1:3" s="191" customFormat="1" ht="12" customHeight="1" x14ac:dyDescent="0.2">
      <c r="A43" s="11" t="s">
        <v>91</v>
      </c>
      <c r="B43" s="193" t="s">
        <v>221</v>
      </c>
      <c r="C43" s="120"/>
    </row>
    <row r="44" spans="1:3" s="191" customFormat="1" ht="12" customHeight="1" x14ac:dyDescent="0.2">
      <c r="A44" s="11" t="s">
        <v>92</v>
      </c>
      <c r="B44" s="193" t="s">
        <v>222</v>
      </c>
      <c r="C44" s="120"/>
    </row>
    <row r="45" spans="1:3" s="191" customFormat="1" ht="12" customHeight="1" x14ac:dyDescent="0.2">
      <c r="A45" s="11" t="s">
        <v>138</v>
      </c>
      <c r="B45" s="193" t="s">
        <v>223</v>
      </c>
      <c r="C45" s="120"/>
    </row>
    <row r="46" spans="1:3" s="191" customFormat="1" ht="12" customHeight="1" x14ac:dyDescent="0.2">
      <c r="A46" s="11" t="s">
        <v>139</v>
      </c>
      <c r="B46" s="193" t="s">
        <v>224</v>
      </c>
      <c r="C46" s="120"/>
    </row>
    <row r="47" spans="1:3" s="191" customFormat="1" ht="12" customHeight="1" x14ac:dyDescent="0.2">
      <c r="A47" s="11" t="s">
        <v>140</v>
      </c>
      <c r="B47" s="193" t="s">
        <v>225</v>
      </c>
      <c r="C47" s="120"/>
    </row>
    <row r="48" spans="1:3" s="191" customFormat="1" ht="12" customHeight="1" x14ac:dyDescent="0.2">
      <c r="A48" s="11" t="s">
        <v>141</v>
      </c>
      <c r="B48" s="193" t="s">
        <v>226</v>
      </c>
      <c r="C48" s="120"/>
    </row>
    <row r="49" spans="1:3" s="191" customFormat="1" ht="12" customHeight="1" x14ac:dyDescent="0.2">
      <c r="A49" s="11" t="s">
        <v>142</v>
      </c>
      <c r="B49" s="193" t="s">
        <v>528</v>
      </c>
      <c r="C49" s="120"/>
    </row>
    <row r="50" spans="1:3" s="191" customFormat="1" ht="12" customHeight="1" x14ac:dyDescent="0.2">
      <c r="A50" s="11" t="s">
        <v>218</v>
      </c>
      <c r="B50" s="193" t="s">
        <v>228</v>
      </c>
      <c r="C50" s="120"/>
    </row>
    <row r="51" spans="1:3" s="191" customFormat="1" ht="12" customHeight="1" x14ac:dyDescent="0.2">
      <c r="A51" s="13" t="s">
        <v>219</v>
      </c>
      <c r="B51" s="194" t="s">
        <v>440</v>
      </c>
      <c r="C51" s="181"/>
    </row>
    <row r="52" spans="1:3" s="191" customFormat="1" ht="12" customHeight="1" thickBot="1" x14ac:dyDescent="0.25">
      <c r="A52" s="13" t="s">
        <v>441</v>
      </c>
      <c r="B52" s="113" t="s">
        <v>229</v>
      </c>
      <c r="C52" s="181"/>
    </row>
    <row r="53" spans="1:3" s="191" customFormat="1" ht="12" customHeight="1" thickBot="1" x14ac:dyDescent="0.25">
      <c r="A53" s="17" t="s">
        <v>24</v>
      </c>
      <c r="B53" s="18" t="s">
        <v>230</v>
      </c>
      <c r="C53" s="116">
        <f>SUM(C54:C58)</f>
        <v>0</v>
      </c>
    </row>
    <row r="54" spans="1:3" s="191" customFormat="1" ht="12" customHeight="1" x14ac:dyDescent="0.2">
      <c r="A54" s="12" t="s">
        <v>93</v>
      </c>
      <c r="B54" s="192" t="s">
        <v>234</v>
      </c>
      <c r="C54" s="230"/>
    </row>
    <row r="55" spans="1:3" s="191" customFormat="1" ht="12" customHeight="1" x14ac:dyDescent="0.2">
      <c r="A55" s="11" t="s">
        <v>94</v>
      </c>
      <c r="B55" s="193" t="s">
        <v>235</v>
      </c>
      <c r="C55" s="120"/>
    </row>
    <row r="56" spans="1:3" s="191" customFormat="1" ht="12" customHeight="1" x14ac:dyDescent="0.2">
      <c r="A56" s="11" t="s">
        <v>231</v>
      </c>
      <c r="B56" s="193" t="s">
        <v>236</v>
      </c>
      <c r="C56" s="120"/>
    </row>
    <row r="57" spans="1:3" s="191" customFormat="1" ht="12" customHeight="1" x14ac:dyDescent="0.2">
      <c r="A57" s="11" t="s">
        <v>232</v>
      </c>
      <c r="B57" s="193" t="s">
        <v>237</v>
      </c>
      <c r="C57" s="120"/>
    </row>
    <row r="58" spans="1:3" s="191" customFormat="1" ht="12" customHeight="1" thickBot="1" x14ac:dyDescent="0.25">
      <c r="A58" s="13" t="s">
        <v>233</v>
      </c>
      <c r="B58" s="113" t="s">
        <v>238</v>
      </c>
      <c r="C58" s="181"/>
    </row>
    <row r="59" spans="1:3" s="191" customFormat="1" ht="12" customHeight="1" thickBot="1" x14ac:dyDescent="0.25">
      <c r="A59" s="17" t="s">
        <v>143</v>
      </c>
      <c r="B59" s="18" t="s">
        <v>239</v>
      </c>
      <c r="C59" s="116">
        <f>SUM(C60:C62)</f>
        <v>0</v>
      </c>
    </row>
    <row r="60" spans="1:3" s="191" customFormat="1" ht="12" customHeight="1" x14ac:dyDescent="0.2">
      <c r="A60" s="12" t="s">
        <v>95</v>
      </c>
      <c r="B60" s="192" t="s">
        <v>240</v>
      </c>
      <c r="C60" s="118"/>
    </row>
    <row r="61" spans="1:3" s="191" customFormat="1" ht="12" customHeight="1" x14ac:dyDescent="0.2">
      <c r="A61" s="11" t="s">
        <v>96</v>
      </c>
      <c r="B61" s="193" t="s">
        <v>371</v>
      </c>
      <c r="C61" s="117"/>
    </row>
    <row r="62" spans="1:3" s="191" customFormat="1" ht="12" customHeight="1" x14ac:dyDescent="0.2">
      <c r="A62" s="11" t="s">
        <v>243</v>
      </c>
      <c r="B62" s="193" t="s">
        <v>241</v>
      </c>
      <c r="C62" s="117"/>
    </row>
    <row r="63" spans="1:3" s="191" customFormat="1" ht="12" customHeight="1" thickBot="1" x14ac:dyDescent="0.25">
      <c r="A63" s="13" t="s">
        <v>244</v>
      </c>
      <c r="B63" s="113" t="s">
        <v>242</v>
      </c>
      <c r="C63" s="119"/>
    </row>
    <row r="64" spans="1:3" s="191" customFormat="1" ht="12" customHeight="1" thickBot="1" x14ac:dyDescent="0.25">
      <c r="A64" s="17" t="s">
        <v>26</v>
      </c>
      <c r="B64" s="111" t="s">
        <v>245</v>
      </c>
      <c r="C64" s="116">
        <f>SUM(C65:C67)</f>
        <v>0</v>
      </c>
    </row>
    <row r="65" spans="1:3" s="191" customFormat="1" ht="12" customHeight="1" x14ac:dyDescent="0.2">
      <c r="A65" s="12" t="s">
        <v>144</v>
      </c>
      <c r="B65" s="192" t="s">
        <v>247</v>
      </c>
      <c r="C65" s="120"/>
    </row>
    <row r="66" spans="1:3" s="191" customFormat="1" ht="12" customHeight="1" x14ac:dyDescent="0.2">
      <c r="A66" s="11" t="s">
        <v>145</v>
      </c>
      <c r="B66" s="193" t="s">
        <v>372</v>
      </c>
      <c r="C66" s="120"/>
    </row>
    <row r="67" spans="1:3" s="191" customFormat="1" ht="12" customHeight="1" x14ac:dyDescent="0.2">
      <c r="A67" s="11" t="s">
        <v>171</v>
      </c>
      <c r="B67" s="193" t="s">
        <v>248</v>
      </c>
      <c r="C67" s="120"/>
    </row>
    <row r="68" spans="1:3" s="191" customFormat="1" ht="12" customHeight="1" thickBot="1" x14ac:dyDescent="0.25">
      <c r="A68" s="13" t="s">
        <v>246</v>
      </c>
      <c r="B68" s="113" t="s">
        <v>249</v>
      </c>
      <c r="C68" s="120"/>
    </row>
    <row r="69" spans="1:3" s="191" customFormat="1" ht="12" customHeight="1" thickBot="1" x14ac:dyDescent="0.25">
      <c r="A69" s="251" t="s">
        <v>442</v>
      </c>
      <c r="B69" s="18" t="s">
        <v>250</v>
      </c>
      <c r="C69" s="121">
        <f>+C11+C20+C27+C34+C41+C53+C59+C64</f>
        <v>0</v>
      </c>
    </row>
    <row r="70" spans="1:3" s="191" customFormat="1" ht="12" customHeight="1" thickBot="1" x14ac:dyDescent="0.25">
      <c r="A70" s="252" t="s">
        <v>251</v>
      </c>
      <c r="B70" s="111" t="s">
        <v>252</v>
      </c>
      <c r="C70" s="116">
        <f>SUM(C71:C73)</f>
        <v>0</v>
      </c>
    </row>
    <row r="71" spans="1:3" s="191" customFormat="1" ht="12" customHeight="1" x14ac:dyDescent="0.2">
      <c r="A71" s="12" t="s">
        <v>283</v>
      </c>
      <c r="B71" s="192" t="s">
        <v>253</v>
      </c>
      <c r="C71" s="120"/>
    </row>
    <row r="72" spans="1:3" s="191" customFormat="1" ht="12" customHeight="1" x14ac:dyDescent="0.2">
      <c r="A72" s="11" t="s">
        <v>292</v>
      </c>
      <c r="B72" s="193" t="s">
        <v>254</v>
      </c>
      <c r="C72" s="120"/>
    </row>
    <row r="73" spans="1:3" s="191" customFormat="1" ht="12" customHeight="1" thickBot="1" x14ac:dyDescent="0.25">
      <c r="A73" s="13" t="s">
        <v>293</v>
      </c>
      <c r="B73" s="253" t="s">
        <v>443</v>
      </c>
      <c r="C73" s="120"/>
    </row>
    <row r="74" spans="1:3" s="191" customFormat="1" ht="12" customHeight="1" thickBot="1" x14ac:dyDescent="0.25">
      <c r="A74" s="252" t="s">
        <v>256</v>
      </c>
      <c r="B74" s="111" t="s">
        <v>257</v>
      </c>
      <c r="C74" s="116">
        <f>SUM(C75:C78)</f>
        <v>0</v>
      </c>
    </row>
    <row r="75" spans="1:3" s="191" customFormat="1" ht="12" customHeight="1" x14ac:dyDescent="0.2">
      <c r="A75" s="12" t="s">
        <v>124</v>
      </c>
      <c r="B75" s="192" t="s">
        <v>258</v>
      </c>
      <c r="C75" s="120"/>
    </row>
    <row r="76" spans="1:3" s="191" customFormat="1" ht="12" customHeight="1" x14ac:dyDescent="0.2">
      <c r="A76" s="11" t="s">
        <v>125</v>
      </c>
      <c r="B76" s="193" t="s">
        <v>863</v>
      </c>
      <c r="C76" s="120"/>
    </row>
    <row r="77" spans="1:3" s="191" customFormat="1" ht="12" customHeight="1" x14ac:dyDescent="0.2">
      <c r="A77" s="11" t="s">
        <v>284</v>
      </c>
      <c r="B77" s="193" t="s">
        <v>260</v>
      </c>
      <c r="C77" s="120"/>
    </row>
    <row r="78" spans="1:3" s="191" customFormat="1" ht="12" customHeight="1" thickBot="1" x14ac:dyDescent="0.25">
      <c r="A78" s="13" t="s">
        <v>285</v>
      </c>
      <c r="B78" s="113" t="s">
        <v>864</v>
      </c>
      <c r="C78" s="120"/>
    </row>
    <row r="79" spans="1:3" s="191" customFormat="1" ht="12" customHeight="1" thickBot="1" x14ac:dyDescent="0.25">
      <c r="A79" s="252" t="s">
        <v>262</v>
      </c>
      <c r="B79" s="111" t="s">
        <v>263</v>
      </c>
      <c r="C79" s="116">
        <f>SUM(C80:C81)</f>
        <v>0</v>
      </c>
    </row>
    <row r="80" spans="1:3" s="191" customFormat="1" ht="12" customHeight="1" x14ac:dyDescent="0.2">
      <c r="A80" s="12" t="s">
        <v>286</v>
      </c>
      <c r="B80" s="192" t="s">
        <v>264</v>
      </c>
      <c r="C80" s="120"/>
    </row>
    <row r="81" spans="1:3" s="191" customFormat="1" ht="12" customHeight="1" thickBot="1" x14ac:dyDescent="0.25">
      <c r="A81" s="13" t="s">
        <v>287</v>
      </c>
      <c r="B81" s="113" t="s">
        <v>265</v>
      </c>
      <c r="C81" s="120"/>
    </row>
    <row r="82" spans="1:3" s="191" customFormat="1" ht="12" customHeight="1" thickBot="1" x14ac:dyDescent="0.25">
      <c r="A82" s="252" t="s">
        <v>266</v>
      </c>
      <c r="B82" s="111" t="s">
        <v>267</v>
      </c>
      <c r="C82" s="116">
        <f>SUM(C83:C85)</f>
        <v>0</v>
      </c>
    </row>
    <row r="83" spans="1:3" s="191" customFormat="1" ht="12" customHeight="1" x14ac:dyDescent="0.2">
      <c r="A83" s="12" t="s">
        <v>288</v>
      </c>
      <c r="B83" s="192" t="s">
        <v>268</v>
      </c>
      <c r="C83" s="120"/>
    </row>
    <row r="84" spans="1:3" s="191" customFormat="1" ht="12" customHeight="1" x14ac:dyDescent="0.2">
      <c r="A84" s="11" t="s">
        <v>289</v>
      </c>
      <c r="B84" s="193" t="s">
        <v>269</v>
      </c>
      <c r="C84" s="120"/>
    </row>
    <row r="85" spans="1:3" s="191" customFormat="1" ht="12" customHeight="1" thickBot="1" x14ac:dyDescent="0.25">
      <c r="A85" s="13" t="s">
        <v>290</v>
      </c>
      <c r="B85" s="113" t="s">
        <v>865</v>
      </c>
      <c r="C85" s="120"/>
    </row>
    <row r="86" spans="1:3" s="191" customFormat="1" ht="12" customHeight="1" thickBot="1" x14ac:dyDescent="0.25">
      <c r="A86" s="252" t="s">
        <v>271</v>
      </c>
      <c r="B86" s="111" t="s">
        <v>291</v>
      </c>
      <c r="C86" s="116">
        <f>SUM(C87:C90)</f>
        <v>0</v>
      </c>
    </row>
    <row r="87" spans="1:3" s="191" customFormat="1" ht="12" customHeight="1" x14ac:dyDescent="0.2">
      <c r="A87" s="196" t="s">
        <v>272</v>
      </c>
      <c r="B87" s="192" t="s">
        <v>273</v>
      </c>
      <c r="C87" s="120"/>
    </row>
    <row r="88" spans="1:3" s="191" customFormat="1" ht="12" customHeight="1" x14ac:dyDescent="0.2">
      <c r="A88" s="197" t="s">
        <v>274</v>
      </c>
      <c r="B88" s="193" t="s">
        <v>275</v>
      </c>
      <c r="C88" s="120"/>
    </row>
    <row r="89" spans="1:3" s="191" customFormat="1" ht="12" customHeight="1" x14ac:dyDescent="0.2">
      <c r="A89" s="197" t="s">
        <v>276</v>
      </c>
      <c r="B89" s="193" t="s">
        <v>277</v>
      </c>
      <c r="C89" s="120"/>
    </row>
    <row r="90" spans="1:3" s="191" customFormat="1" ht="12" customHeight="1" thickBot="1" x14ac:dyDescent="0.25">
      <c r="A90" s="198" t="s">
        <v>278</v>
      </c>
      <c r="B90" s="113" t="s">
        <v>279</v>
      </c>
      <c r="C90" s="120"/>
    </row>
    <row r="91" spans="1:3" s="191" customFormat="1" ht="12" customHeight="1" thickBot="1" x14ac:dyDescent="0.25">
      <c r="A91" s="252" t="s">
        <v>280</v>
      </c>
      <c r="B91" s="111" t="s">
        <v>444</v>
      </c>
      <c r="C91" s="231"/>
    </row>
    <row r="92" spans="1:3" s="191" customFormat="1" ht="13.5" customHeight="1" thickBot="1" x14ac:dyDescent="0.25">
      <c r="A92" s="252" t="s">
        <v>282</v>
      </c>
      <c r="B92" s="111" t="s">
        <v>281</v>
      </c>
      <c r="C92" s="231"/>
    </row>
    <row r="93" spans="1:3" s="191" customFormat="1" ht="15.75" customHeight="1" thickBot="1" x14ac:dyDescent="0.25">
      <c r="A93" s="252" t="s">
        <v>294</v>
      </c>
      <c r="B93" s="199" t="s">
        <v>445</v>
      </c>
      <c r="C93" s="121">
        <f>+C70+C74+C79+C82+C86+C92+C91</f>
        <v>0</v>
      </c>
    </row>
    <row r="94" spans="1:3" s="191" customFormat="1" ht="16.5" customHeight="1" thickBot="1" x14ac:dyDescent="0.25">
      <c r="A94" s="254" t="s">
        <v>446</v>
      </c>
      <c r="B94" s="200" t="s">
        <v>447</v>
      </c>
      <c r="C94" s="121">
        <f>+C69+C93</f>
        <v>0</v>
      </c>
    </row>
    <row r="95" spans="1:3" s="191" customFormat="1" ht="83.25" customHeight="1" x14ac:dyDescent="0.2">
      <c r="A95" s="2"/>
      <c r="B95" s="3"/>
      <c r="C95" s="122"/>
    </row>
    <row r="96" spans="1:3" ht="16.5" customHeight="1" x14ac:dyDescent="0.25">
      <c r="A96" s="1423" t="s">
        <v>47</v>
      </c>
      <c r="B96" s="1423"/>
      <c r="C96" s="1423"/>
    </row>
    <row r="97" spans="1:3" s="201" customFormat="1" ht="16.5" customHeight="1" thickBot="1" x14ac:dyDescent="0.3">
      <c r="A97" s="1424" t="s">
        <v>127</v>
      </c>
      <c r="B97" s="1424"/>
      <c r="C97" s="58" t="s">
        <v>539</v>
      </c>
    </row>
    <row r="98" spans="1:3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</row>
    <row r="99" spans="1:3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3" ht="12" customHeight="1" thickBot="1" x14ac:dyDescent="0.3">
      <c r="A100" s="19" t="s">
        <v>19</v>
      </c>
      <c r="B100" s="23" t="s">
        <v>485</v>
      </c>
      <c r="C100" s="115">
        <f>C101+C102+C103+C104+C105+C118</f>
        <v>0</v>
      </c>
    </row>
    <row r="101" spans="1:3" ht="12" customHeight="1" x14ac:dyDescent="0.25">
      <c r="A101" s="14" t="s">
        <v>97</v>
      </c>
      <c r="B101" s="7" t="s">
        <v>49</v>
      </c>
      <c r="C101" s="270"/>
    </row>
    <row r="102" spans="1:3" ht="12" customHeight="1" x14ac:dyDescent="0.25">
      <c r="A102" s="11" t="s">
        <v>98</v>
      </c>
      <c r="B102" s="5" t="s">
        <v>146</v>
      </c>
      <c r="C102" s="120"/>
    </row>
    <row r="103" spans="1:3" ht="12" customHeight="1" x14ac:dyDescent="0.25">
      <c r="A103" s="11" t="s">
        <v>99</v>
      </c>
      <c r="B103" s="5" t="s">
        <v>122</v>
      </c>
      <c r="C103" s="181"/>
    </row>
    <row r="104" spans="1:3" ht="12" customHeight="1" x14ac:dyDescent="0.25">
      <c r="A104" s="11" t="s">
        <v>100</v>
      </c>
      <c r="B104" s="8" t="s">
        <v>147</v>
      </c>
      <c r="C104" s="181"/>
    </row>
    <row r="105" spans="1:3" ht="12" customHeight="1" x14ac:dyDescent="0.25">
      <c r="A105" s="11" t="s">
        <v>111</v>
      </c>
      <c r="B105" s="16" t="s">
        <v>148</v>
      </c>
      <c r="C105" s="120">
        <f>SUM(C106:C117)</f>
        <v>0</v>
      </c>
    </row>
    <row r="106" spans="1:3" ht="12" customHeight="1" x14ac:dyDescent="0.25">
      <c r="A106" s="11" t="s">
        <v>101</v>
      </c>
      <c r="B106" s="5" t="s">
        <v>448</v>
      </c>
      <c r="C106" s="268"/>
    </row>
    <row r="107" spans="1:3" ht="12" customHeight="1" x14ac:dyDescent="0.25">
      <c r="A107" s="11" t="s">
        <v>102</v>
      </c>
      <c r="B107" s="62" t="s">
        <v>449</v>
      </c>
      <c r="C107" s="268"/>
    </row>
    <row r="108" spans="1:3" ht="12" customHeight="1" x14ac:dyDescent="0.25">
      <c r="A108" s="11" t="s">
        <v>112</v>
      </c>
      <c r="B108" s="62" t="s">
        <v>450</v>
      </c>
      <c r="C108" s="268"/>
    </row>
    <row r="109" spans="1:3" ht="12" customHeight="1" x14ac:dyDescent="0.25">
      <c r="A109" s="11" t="s">
        <v>113</v>
      </c>
      <c r="B109" s="60" t="s">
        <v>297</v>
      </c>
      <c r="C109" s="268"/>
    </row>
    <row r="110" spans="1:3" ht="12" customHeight="1" x14ac:dyDescent="0.25">
      <c r="A110" s="11" t="s">
        <v>114</v>
      </c>
      <c r="B110" s="61" t="s">
        <v>298</v>
      </c>
      <c r="C110" s="268"/>
    </row>
    <row r="111" spans="1:3" ht="12" customHeight="1" x14ac:dyDescent="0.25">
      <c r="A111" s="11" t="s">
        <v>115</v>
      </c>
      <c r="B111" s="61" t="s">
        <v>299</v>
      </c>
      <c r="C111" s="268"/>
    </row>
    <row r="112" spans="1:3" ht="12" customHeight="1" x14ac:dyDescent="0.25">
      <c r="A112" s="11" t="s">
        <v>117</v>
      </c>
      <c r="B112" s="60" t="s">
        <v>300</v>
      </c>
      <c r="C112" s="268"/>
    </row>
    <row r="113" spans="1:3" ht="12" customHeight="1" x14ac:dyDescent="0.25">
      <c r="A113" s="11" t="s">
        <v>149</v>
      </c>
      <c r="B113" s="60" t="s">
        <v>301</v>
      </c>
      <c r="C113" s="268"/>
    </row>
    <row r="114" spans="1:3" ht="12" customHeight="1" x14ac:dyDescent="0.25">
      <c r="A114" s="11" t="s">
        <v>295</v>
      </c>
      <c r="B114" s="61" t="s">
        <v>302</v>
      </c>
      <c r="C114" s="268"/>
    </row>
    <row r="115" spans="1:3" ht="12" customHeight="1" x14ac:dyDescent="0.25">
      <c r="A115" s="10" t="s">
        <v>296</v>
      </c>
      <c r="B115" s="62" t="s">
        <v>303</v>
      </c>
      <c r="C115" s="268"/>
    </row>
    <row r="116" spans="1:3" ht="12" customHeight="1" x14ac:dyDescent="0.25">
      <c r="A116" s="11" t="s">
        <v>451</v>
      </c>
      <c r="B116" s="62" t="s">
        <v>304</v>
      </c>
      <c r="C116" s="268"/>
    </row>
    <row r="117" spans="1:3" ht="12" customHeight="1" x14ac:dyDescent="0.25">
      <c r="A117" s="13" t="s">
        <v>452</v>
      </c>
      <c r="B117" s="62" t="s">
        <v>305</v>
      </c>
      <c r="C117" s="265"/>
    </row>
    <row r="118" spans="1:3" ht="12" customHeight="1" x14ac:dyDescent="0.25">
      <c r="A118" s="11" t="s">
        <v>453</v>
      </c>
      <c r="B118" s="8" t="s">
        <v>50</v>
      </c>
      <c r="C118" s="120">
        <f>C119+C120</f>
        <v>0</v>
      </c>
    </row>
    <row r="119" spans="1:3" ht="12" customHeight="1" x14ac:dyDescent="0.25">
      <c r="A119" s="11" t="s">
        <v>454</v>
      </c>
      <c r="B119" s="5" t="s">
        <v>455</v>
      </c>
      <c r="C119" s="117"/>
    </row>
    <row r="120" spans="1:3" ht="12" customHeight="1" thickBot="1" x14ac:dyDescent="0.3">
      <c r="A120" s="15" t="s">
        <v>456</v>
      </c>
      <c r="B120" s="255" t="s">
        <v>457</v>
      </c>
      <c r="C120" s="123"/>
    </row>
    <row r="121" spans="1:3" ht="12" customHeight="1" thickBot="1" x14ac:dyDescent="0.3">
      <c r="A121" s="256" t="s">
        <v>20</v>
      </c>
      <c r="B121" s="257" t="s">
        <v>306</v>
      </c>
      <c r="C121" s="258">
        <f>+C122+C124+C126</f>
        <v>0</v>
      </c>
    </row>
    <row r="122" spans="1:3" ht="12" customHeight="1" x14ac:dyDescent="0.25">
      <c r="A122" s="12" t="s">
        <v>103</v>
      </c>
      <c r="B122" s="5" t="s">
        <v>170</v>
      </c>
      <c r="C122" s="230"/>
    </row>
    <row r="123" spans="1:3" ht="12" customHeight="1" x14ac:dyDescent="0.25">
      <c r="A123" s="12" t="s">
        <v>104</v>
      </c>
      <c r="B123" s="9" t="s">
        <v>310</v>
      </c>
      <c r="C123" s="230"/>
    </row>
    <row r="124" spans="1:3" ht="12" customHeight="1" x14ac:dyDescent="0.25">
      <c r="A124" s="12" t="s">
        <v>105</v>
      </c>
      <c r="B124" s="9" t="s">
        <v>150</v>
      </c>
      <c r="C124" s="120"/>
    </row>
    <row r="125" spans="1:3" ht="12" customHeight="1" x14ac:dyDescent="0.25">
      <c r="A125" s="12" t="s">
        <v>106</v>
      </c>
      <c r="B125" s="9" t="s">
        <v>311</v>
      </c>
      <c r="C125" s="265"/>
    </row>
    <row r="126" spans="1:3" ht="12" customHeight="1" x14ac:dyDescent="0.25">
      <c r="A126" s="12" t="s">
        <v>107</v>
      </c>
      <c r="B126" s="113" t="s">
        <v>172</v>
      </c>
      <c r="C126" s="265">
        <f>SUM(C127:C134)</f>
        <v>0</v>
      </c>
    </row>
    <row r="127" spans="1:3" ht="12" customHeight="1" x14ac:dyDescent="0.25">
      <c r="A127" s="12" t="s">
        <v>116</v>
      </c>
      <c r="B127" s="112" t="s">
        <v>373</v>
      </c>
      <c r="C127" s="265"/>
    </row>
    <row r="128" spans="1:3" ht="12" customHeight="1" x14ac:dyDescent="0.25">
      <c r="A128" s="12" t="s">
        <v>118</v>
      </c>
      <c r="B128" s="188" t="s">
        <v>316</v>
      </c>
      <c r="C128" s="265"/>
    </row>
    <row r="129" spans="1:3" x14ac:dyDescent="0.25">
      <c r="A129" s="12" t="s">
        <v>151</v>
      </c>
      <c r="B129" s="61" t="s">
        <v>299</v>
      </c>
      <c r="C129" s="265"/>
    </row>
    <row r="130" spans="1:3" ht="12" customHeight="1" x14ac:dyDescent="0.25">
      <c r="A130" s="12" t="s">
        <v>152</v>
      </c>
      <c r="B130" s="61" t="s">
        <v>315</v>
      </c>
      <c r="C130" s="265"/>
    </row>
    <row r="131" spans="1:3" ht="12" customHeight="1" x14ac:dyDescent="0.25">
      <c r="A131" s="12" t="s">
        <v>153</v>
      </c>
      <c r="B131" s="61" t="s">
        <v>314</v>
      </c>
      <c r="C131" s="265"/>
    </row>
    <row r="132" spans="1:3" ht="12" customHeight="1" x14ac:dyDescent="0.25">
      <c r="A132" s="12" t="s">
        <v>307</v>
      </c>
      <c r="B132" s="61" t="s">
        <v>302</v>
      </c>
      <c r="C132" s="265"/>
    </row>
    <row r="133" spans="1:3" ht="12" customHeight="1" x14ac:dyDescent="0.25">
      <c r="A133" s="12" t="s">
        <v>308</v>
      </c>
      <c r="B133" s="61" t="s">
        <v>313</v>
      </c>
      <c r="C133" s="265"/>
    </row>
    <row r="134" spans="1:3" ht="16.5" thickBot="1" x14ac:dyDescent="0.3">
      <c r="A134" s="10" t="s">
        <v>309</v>
      </c>
      <c r="B134" s="61" t="s">
        <v>312</v>
      </c>
      <c r="C134" s="268"/>
    </row>
    <row r="135" spans="1:3" ht="12" customHeight="1" thickBot="1" x14ac:dyDescent="0.3">
      <c r="A135" s="17" t="s">
        <v>21</v>
      </c>
      <c r="B135" s="56" t="s">
        <v>458</v>
      </c>
      <c r="C135" s="116">
        <f>+C100+C121</f>
        <v>0</v>
      </c>
    </row>
    <row r="136" spans="1:3" ht="12" customHeight="1" thickBot="1" x14ac:dyDescent="0.3">
      <c r="A136" s="17" t="s">
        <v>22</v>
      </c>
      <c r="B136" s="56" t="s">
        <v>459</v>
      </c>
      <c r="C136" s="116">
        <f>+C137+C138+C139</f>
        <v>0</v>
      </c>
    </row>
    <row r="137" spans="1:3" ht="12" customHeight="1" x14ac:dyDescent="0.25">
      <c r="A137" s="12" t="s">
        <v>208</v>
      </c>
      <c r="B137" s="9" t="s">
        <v>460</v>
      </c>
      <c r="C137" s="105"/>
    </row>
    <row r="138" spans="1:3" ht="12" customHeight="1" x14ac:dyDescent="0.25">
      <c r="A138" s="12" t="s">
        <v>211</v>
      </c>
      <c r="B138" s="9" t="s">
        <v>461</v>
      </c>
      <c r="C138" s="105"/>
    </row>
    <row r="139" spans="1:3" ht="12" customHeight="1" thickBot="1" x14ac:dyDescent="0.3">
      <c r="A139" s="10" t="s">
        <v>212</v>
      </c>
      <c r="B139" s="9" t="s">
        <v>462</v>
      </c>
      <c r="C139" s="105"/>
    </row>
    <row r="140" spans="1:3" ht="12" customHeight="1" thickBot="1" x14ac:dyDescent="0.3">
      <c r="A140" s="17" t="s">
        <v>23</v>
      </c>
      <c r="B140" s="56" t="s">
        <v>463</v>
      </c>
      <c r="C140" s="116">
        <f>SUM(C141:C146)</f>
        <v>0</v>
      </c>
    </row>
    <row r="141" spans="1:3" ht="12" customHeight="1" x14ac:dyDescent="0.25">
      <c r="A141" s="12" t="s">
        <v>90</v>
      </c>
      <c r="B141" s="6" t="s">
        <v>464</v>
      </c>
      <c r="C141" s="105"/>
    </row>
    <row r="142" spans="1:3" ht="12" customHeight="1" x14ac:dyDescent="0.25">
      <c r="A142" s="12" t="s">
        <v>91</v>
      </c>
      <c r="B142" s="6" t="s">
        <v>465</v>
      </c>
      <c r="C142" s="105"/>
    </row>
    <row r="143" spans="1:3" ht="12" customHeight="1" x14ac:dyDescent="0.25">
      <c r="A143" s="12" t="s">
        <v>92</v>
      </c>
      <c r="B143" s="6" t="s">
        <v>466</v>
      </c>
      <c r="C143" s="105"/>
    </row>
    <row r="144" spans="1:3" ht="12" customHeight="1" x14ac:dyDescent="0.25">
      <c r="A144" s="12" t="s">
        <v>138</v>
      </c>
      <c r="B144" s="6" t="s">
        <v>467</v>
      </c>
      <c r="C144" s="105"/>
    </row>
    <row r="145" spans="1:6" ht="12" customHeight="1" x14ac:dyDescent="0.25">
      <c r="A145" s="12" t="s">
        <v>139</v>
      </c>
      <c r="B145" s="6" t="s">
        <v>468</v>
      </c>
      <c r="C145" s="105"/>
    </row>
    <row r="146" spans="1:6" ht="12" customHeight="1" thickBot="1" x14ac:dyDescent="0.3">
      <c r="A146" s="10" t="s">
        <v>140</v>
      </c>
      <c r="B146" s="6" t="s">
        <v>469</v>
      </c>
      <c r="C146" s="105"/>
    </row>
    <row r="147" spans="1:6" ht="12" customHeight="1" thickBot="1" x14ac:dyDescent="0.3">
      <c r="A147" s="17" t="s">
        <v>24</v>
      </c>
      <c r="B147" s="56" t="s">
        <v>470</v>
      </c>
      <c r="C147" s="121">
        <f>+C148+C149+C150+C151</f>
        <v>0</v>
      </c>
    </row>
    <row r="148" spans="1:6" ht="12" customHeight="1" x14ac:dyDescent="0.25">
      <c r="A148" s="12" t="s">
        <v>93</v>
      </c>
      <c r="B148" s="6" t="s">
        <v>317</v>
      </c>
      <c r="C148" s="105"/>
    </row>
    <row r="149" spans="1:6" ht="12" customHeight="1" x14ac:dyDescent="0.25">
      <c r="A149" s="12" t="s">
        <v>94</v>
      </c>
      <c r="B149" s="6" t="s">
        <v>318</v>
      </c>
      <c r="C149" s="105"/>
    </row>
    <row r="150" spans="1:6" ht="12" customHeight="1" x14ac:dyDescent="0.25">
      <c r="A150" s="12" t="s">
        <v>231</v>
      </c>
      <c r="B150" s="6" t="s">
        <v>471</v>
      </c>
      <c r="C150" s="105"/>
    </row>
    <row r="151" spans="1:6" ht="12" customHeight="1" thickBot="1" x14ac:dyDescent="0.3">
      <c r="A151" s="10" t="s">
        <v>232</v>
      </c>
      <c r="B151" s="4" t="s">
        <v>336</v>
      </c>
      <c r="C151" s="105"/>
    </row>
    <row r="152" spans="1:6" ht="12" customHeight="1" thickBot="1" x14ac:dyDescent="0.3">
      <c r="A152" s="17" t="s">
        <v>25</v>
      </c>
      <c r="B152" s="56" t="s">
        <v>472</v>
      </c>
      <c r="C152" s="124">
        <f>SUM(C153:C157)</f>
        <v>0</v>
      </c>
    </row>
    <row r="153" spans="1:6" ht="12" customHeight="1" x14ac:dyDescent="0.25">
      <c r="A153" s="12" t="s">
        <v>95</v>
      </c>
      <c r="B153" s="6" t="s">
        <v>473</v>
      </c>
      <c r="C153" s="105"/>
    </row>
    <row r="154" spans="1:6" ht="12" customHeight="1" x14ac:dyDescent="0.25">
      <c r="A154" s="12" t="s">
        <v>96</v>
      </c>
      <c r="B154" s="6" t="s">
        <v>474</v>
      </c>
      <c r="C154" s="105"/>
    </row>
    <row r="155" spans="1:6" ht="12" customHeight="1" x14ac:dyDescent="0.25">
      <c r="A155" s="12" t="s">
        <v>243</v>
      </c>
      <c r="B155" s="6" t="s">
        <v>475</v>
      </c>
      <c r="C155" s="105"/>
    </row>
    <row r="156" spans="1:6" ht="12" customHeight="1" x14ac:dyDescent="0.25">
      <c r="A156" s="12" t="s">
        <v>244</v>
      </c>
      <c r="B156" s="6" t="s">
        <v>476</v>
      </c>
      <c r="C156" s="105"/>
    </row>
    <row r="157" spans="1:6" ht="12" customHeight="1" thickBot="1" x14ac:dyDescent="0.3">
      <c r="A157" s="12" t="s">
        <v>477</v>
      </c>
      <c r="B157" s="6" t="s">
        <v>478</v>
      </c>
      <c r="C157" s="105"/>
    </row>
    <row r="158" spans="1:6" ht="12" customHeight="1" thickBot="1" x14ac:dyDescent="0.3">
      <c r="A158" s="17" t="s">
        <v>26</v>
      </c>
      <c r="B158" s="56" t="s">
        <v>479</v>
      </c>
      <c r="C158" s="259"/>
    </row>
    <row r="159" spans="1:6" ht="12" customHeight="1" thickBot="1" x14ac:dyDescent="0.3">
      <c r="A159" s="17" t="s">
        <v>27</v>
      </c>
      <c r="B159" s="56" t="s">
        <v>480</v>
      </c>
      <c r="C159" s="259"/>
    </row>
    <row r="160" spans="1:6" ht="15" customHeight="1" thickBot="1" x14ac:dyDescent="0.3">
      <c r="A160" s="17" t="s">
        <v>28</v>
      </c>
      <c r="B160" s="56" t="s">
        <v>481</v>
      </c>
      <c r="C160" s="202">
        <f>+C136+C140+C147+C152+C158+C159</f>
        <v>0</v>
      </c>
      <c r="D160" s="203"/>
      <c r="E160" s="203"/>
      <c r="F160" s="203"/>
    </row>
    <row r="161" spans="1:3" s="191" customFormat="1" ht="12.95" customHeight="1" thickBot="1" x14ac:dyDescent="0.25">
      <c r="A161" s="114" t="s">
        <v>29</v>
      </c>
      <c r="B161" s="177" t="s">
        <v>482</v>
      </c>
      <c r="C161" s="202">
        <f>+C135+C160</f>
        <v>0</v>
      </c>
    </row>
    <row r="162" spans="1:3" ht="7.5" customHeight="1" x14ac:dyDescent="0.25"/>
    <row r="163" spans="1:3" x14ac:dyDescent="0.25">
      <c r="A163" s="1420" t="s">
        <v>319</v>
      </c>
      <c r="B163" s="1420"/>
      <c r="C163" s="1420"/>
    </row>
    <row r="164" spans="1:3" ht="15" customHeight="1" thickBot="1" x14ac:dyDescent="0.3">
      <c r="A164" s="1422" t="s">
        <v>128</v>
      </c>
      <c r="B164" s="1422"/>
      <c r="C164" s="125" t="s">
        <v>539</v>
      </c>
    </row>
    <row r="165" spans="1:3" ht="13.5" customHeight="1" thickBot="1" x14ac:dyDescent="0.3">
      <c r="A165" s="17">
        <v>1</v>
      </c>
      <c r="B165" s="22" t="s">
        <v>483</v>
      </c>
      <c r="C165" s="116">
        <f>+C69-C135</f>
        <v>0</v>
      </c>
    </row>
    <row r="166" spans="1:3" ht="32.25" customHeight="1" thickBot="1" x14ac:dyDescent="0.3">
      <c r="A166" s="17" t="s">
        <v>20</v>
      </c>
      <c r="B166" s="22" t="s">
        <v>484</v>
      </c>
      <c r="C166" s="116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zoomScale="115" zoomScaleNormal="115" zoomScaleSheetLayoutView="100" workbookViewId="0">
      <selection activeCell="D22" sqref="D22"/>
    </sheetView>
  </sheetViews>
  <sheetFormatPr defaultRowHeight="12.75" x14ac:dyDescent="0.2"/>
  <cols>
    <col min="1" max="1" width="6.83203125" style="31" customWidth="1"/>
    <col min="2" max="2" width="55.1640625" style="71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30" t="s">
        <v>131</v>
      </c>
      <c r="B1" s="1430"/>
      <c r="C1" s="1430"/>
      <c r="D1" s="1430"/>
      <c r="E1" s="1430"/>
      <c r="F1" s="1426" t="str">
        <f>CONCATENATE("2.1. melléklet ",ALAPADATOK!A7," ",ALAPADATOK!B7," ",ALAPADATOK!C7," ",ALAPADATOK!D7," ",ALAPADATOK!E7," ",ALAPADATOK!F7," ",ALAPADATOK!G7," ",ALAPADATOK!H7)</f>
        <v>2.1. melléklet a 2 / 2021. ( II.15. ) önkormányzati rendelethez</v>
      </c>
    </row>
    <row r="2" spans="1:6" ht="18" customHeight="1" thickBot="1" x14ac:dyDescent="0.25">
      <c r="A2" s="1427" t="s">
        <v>70</v>
      </c>
      <c r="B2" s="581" t="s">
        <v>56</v>
      </c>
      <c r="C2" s="582"/>
      <c r="D2" s="581" t="s">
        <v>57</v>
      </c>
      <c r="E2" s="583"/>
      <c r="F2" s="1426"/>
    </row>
    <row r="3" spans="1:6" s="135" customFormat="1" ht="35.25" customHeight="1" thickBot="1" x14ac:dyDescent="0.25">
      <c r="A3" s="1428"/>
      <c r="B3" s="584" t="s">
        <v>62</v>
      </c>
      <c r="C3" s="585" t="s">
        <v>853</v>
      </c>
      <c r="D3" s="584" t="s">
        <v>62</v>
      </c>
      <c r="E3" s="586" t="str">
        <f>+C3</f>
        <v>2021.évi előirányzat</v>
      </c>
      <c r="F3" s="1426"/>
    </row>
    <row r="4" spans="1:6" s="140" customFormat="1" ht="12" customHeight="1" thickBot="1" x14ac:dyDescent="0.25">
      <c r="A4" s="136" t="s">
        <v>434</v>
      </c>
      <c r="B4" s="137" t="s">
        <v>435</v>
      </c>
      <c r="C4" s="138" t="s">
        <v>436</v>
      </c>
      <c r="D4" s="137" t="s">
        <v>486</v>
      </c>
      <c r="E4" s="139" t="s">
        <v>487</v>
      </c>
      <c r="F4" s="1426"/>
    </row>
    <row r="5" spans="1:6" ht="12.95" customHeight="1" x14ac:dyDescent="0.2">
      <c r="A5" s="587" t="s">
        <v>19</v>
      </c>
      <c r="B5" s="157" t="s">
        <v>320</v>
      </c>
      <c r="C5" s="565">
        <f>'1.1.sz.mell. '!C11</f>
        <v>1586722929</v>
      </c>
      <c r="D5" s="157" t="s">
        <v>63</v>
      </c>
      <c r="E5" s="34">
        <f>'1.1.sz.mell. '!C101</f>
        <v>1258326512</v>
      </c>
      <c r="F5" s="1426"/>
    </row>
    <row r="6" spans="1:6" ht="12.95" customHeight="1" x14ac:dyDescent="0.2">
      <c r="A6" s="588" t="s">
        <v>20</v>
      </c>
      <c r="B6" s="147" t="s">
        <v>321</v>
      </c>
      <c r="C6" s="35">
        <f>'1.1.sz.mell. '!C20</f>
        <v>355607178</v>
      </c>
      <c r="D6" s="147" t="s">
        <v>146</v>
      </c>
      <c r="E6" s="34">
        <f>'1.1.sz.mell. '!C102</f>
        <v>215518047</v>
      </c>
      <c r="F6" s="1426"/>
    </row>
    <row r="7" spans="1:6" ht="12.95" customHeight="1" x14ac:dyDescent="0.2">
      <c r="A7" s="588" t="s">
        <v>21</v>
      </c>
      <c r="B7" s="147" t="s">
        <v>341</v>
      </c>
      <c r="C7" s="35">
        <f>'1.1.sz.mell. '!C26</f>
        <v>131495850</v>
      </c>
      <c r="D7" s="147" t="s">
        <v>175</v>
      </c>
      <c r="E7" s="34">
        <f>'1.1.sz.mell. '!C103</f>
        <v>985774764</v>
      </c>
      <c r="F7" s="1426"/>
    </row>
    <row r="8" spans="1:6" ht="12.95" customHeight="1" x14ac:dyDescent="0.2">
      <c r="A8" s="588" t="s">
        <v>22</v>
      </c>
      <c r="B8" s="147" t="s">
        <v>137</v>
      </c>
      <c r="C8" s="35">
        <f>'1.1.sz.mell. '!C34</f>
        <v>398600000</v>
      </c>
      <c r="D8" s="147" t="s">
        <v>147</v>
      </c>
      <c r="E8" s="36">
        <f>'1.1.sz.mell. '!C104</f>
        <v>56500000</v>
      </c>
      <c r="F8" s="1426"/>
    </row>
    <row r="9" spans="1:6" ht="12.95" customHeight="1" x14ac:dyDescent="0.2">
      <c r="A9" s="588" t="s">
        <v>23</v>
      </c>
      <c r="B9" s="589" t="s">
        <v>366</v>
      </c>
      <c r="C9" s="35">
        <f>'1.1.sz.mell. '!C41</f>
        <v>364458308</v>
      </c>
      <c r="D9" s="147" t="s">
        <v>148</v>
      </c>
      <c r="E9" s="36">
        <f>'1.1.sz.mell. '!C105</f>
        <v>198934698</v>
      </c>
      <c r="F9" s="1426"/>
    </row>
    <row r="10" spans="1:6" ht="12.95" customHeight="1" x14ac:dyDescent="0.2">
      <c r="A10" s="588" t="s">
        <v>24</v>
      </c>
      <c r="B10" s="147" t="s">
        <v>322</v>
      </c>
      <c r="C10" s="271">
        <f>'1.1.sz.mell. '!C59</f>
        <v>1200000</v>
      </c>
      <c r="D10" s="147" t="s">
        <v>50</v>
      </c>
      <c r="E10" s="1020">
        <f>'1.1.sz.mell. '!C118-'2.2.sz.mell .'!E15</f>
        <v>22803640</v>
      </c>
      <c r="F10" s="1426"/>
    </row>
    <row r="11" spans="1:6" ht="12.95" customHeight="1" x14ac:dyDescent="0.2">
      <c r="A11" s="588" t="s">
        <v>25</v>
      </c>
      <c r="B11" s="147" t="s">
        <v>488</v>
      </c>
      <c r="C11" s="35">
        <f>'1.1.sz.mell. '!C63</f>
        <v>0</v>
      </c>
      <c r="D11" s="296"/>
      <c r="E11" s="36"/>
      <c r="F11" s="1426"/>
    </row>
    <row r="12" spans="1:6" ht="12.95" customHeight="1" x14ac:dyDescent="0.2">
      <c r="A12" s="588" t="s">
        <v>26</v>
      </c>
      <c r="B12" s="296"/>
      <c r="C12" s="35"/>
      <c r="D12" s="296"/>
      <c r="E12" s="36"/>
      <c r="F12" s="1426"/>
    </row>
    <row r="13" spans="1:6" ht="12.95" customHeight="1" x14ac:dyDescent="0.2">
      <c r="A13" s="588" t="s">
        <v>27</v>
      </c>
      <c r="B13" s="204"/>
      <c r="C13" s="271"/>
      <c r="D13" s="296"/>
      <c r="E13" s="36"/>
      <c r="F13" s="1426"/>
    </row>
    <row r="14" spans="1:6" ht="12.95" customHeight="1" x14ac:dyDescent="0.2">
      <c r="A14" s="588" t="s">
        <v>28</v>
      </c>
      <c r="B14" s="296"/>
      <c r="C14" s="35"/>
      <c r="D14" s="296"/>
      <c r="E14" s="36"/>
      <c r="F14" s="1426"/>
    </row>
    <row r="15" spans="1:6" ht="12.95" customHeight="1" x14ac:dyDescent="0.2">
      <c r="A15" s="588" t="s">
        <v>29</v>
      </c>
      <c r="B15" s="296"/>
      <c r="C15" s="35"/>
      <c r="D15" s="296"/>
      <c r="E15" s="36"/>
      <c r="F15" s="1426"/>
    </row>
    <row r="16" spans="1:6" ht="12.95" customHeight="1" thickBot="1" x14ac:dyDescent="0.25">
      <c r="A16" s="588" t="s">
        <v>30</v>
      </c>
      <c r="B16" s="590"/>
      <c r="C16" s="429"/>
      <c r="D16" s="296"/>
      <c r="E16" s="473"/>
      <c r="F16" s="1426"/>
    </row>
    <row r="17" spans="1:6" ht="15.95" customHeight="1" thickBot="1" x14ac:dyDescent="0.25">
      <c r="A17" s="145" t="s">
        <v>31</v>
      </c>
      <c r="B17" s="57" t="s">
        <v>489</v>
      </c>
      <c r="C17" s="126">
        <f>SUM(C5:C16)-C7</f>
        <v>2706588415</v>
      </c>
      <c r="D17" s="57" t="s">
        <v>327</v>
      </c>
      <c r="E17" s="130">
        <f>SUM(E5:E16)</f>
        <v>2737857661</v>
      </c>
      <c r="F17" s="1426"/>
    </row>
    <row r="18" spans="1:6" ht="12.95" customHeight="1" x14ac:dyDescent="0.2">
      <c r="A18" s="591" t="s">
        <v>32</v>
      </c>
      <c r="B18" s="146" t="s">
        <v>324</v>
      </c>
      <c r="C18" s="233">
        <f>SUM(C19:C22)</f>
        <v>46860776</v>
      </c>
      <c r="D18" s="147" t="s">
        <v>154</v>
      </c>
      <c r="E18" s="131"/>
      <c r="F18" s="1426"/>
    </row>
    <row r="19" spans="1:6" ht="12.95" customHeight="1" x14ac:dyDescent="0.2">
      <c r="A19" s="588" t="s">
        <v>33</v>
      </c>
      <c r="B19" s="147" t="s">
        <v>168</v>
      </c>
      <c r="C19" s="35">
        <f>'1.1.sz.mell. '!C80-'2.2.sz.mell .'!C18</f>
        <v>46860776</v>
      </c>
      <c r="D19" s="147" t="s">
        <v>326</v>
      </c>
      <c r="E19" s="36">
        <f>'1.1.sz.mell. '!C138</f>
        <v>850000000</v>
      </c>
      <c r="F19" s="1426"/>
    </row>
    <row r="20" spans="1:6" ht="12.95" customHeight="1" x14ac:dyDescent="0.2">
      <c r="A20" s="588" t="s">
        <v>34</v>
      </c>
      <c r="B20" s="147" t="s">
        <v>169</v>
      </c>
      <c r="C20" s="35"/>
      <c r="D20" s="147" t="s">
        <v>129</v>
      </c>
      <c r="E20" s="36"/>
      <c r="F20" s="1426"/>
    </row>
    <row r="21" spans="1:6" ht="12.95" customHeight="1" x14ac:dyDescent="0.2">
      <c r="A21" s="588" t="s">
        <v>35</v>
      </c>
      <c r="B21" s="147" t="s">
        <v>173</v>
      </c>
      <c r="C21" s="35"/>
      <c r="D21" s="147" t="s">
        <v>130</v>
      </c>
      <c r="E21" s="36"/>
      <c r="F21" s="1426"/>
    </row>
    <row r="22" spans="1:6" ht="12.95" customHeight="1" x14ac:dyDescent="0.2">
      <c r="A22" s="588" t="s">
        <v>36</v>
      </c>
      <c r="B22" s="147" t="s">
        <v>174</v>
      </c>
      <c r="C22" s="35"/>
      <c r="D22" s="146" t="s">
        <v>176</v>
      </c>
      <c r="E22" s="36"/>
      <c r="F22" s="1426"/>
    </row>
    <row r="23" spans="1:6" ht="12.95" customHeight="1" x14ac:dyDescent="0.2">
      <c r="A23" s="588" t="s">
        <v>37</v>
      </c>
      <c r="B23" s="147" t="s">
        <v>325</v>
      </c>
      <c r="C23" s="148">
        <f>SUM(C24:C25)</f>
        <v>850000000</v>
      </c>
      <c r="D23" s="147" t="s">
        <v>155</v>
      </c>
      <c r="E23" s="36"/>
      <c r="F23" s="1426"/>
    </row>
    <row r="24" spans="1:6" ht="12.95" customHeight="1" x14ac:dyDescent="0.2">
      <c r="A24" s="591" t="s">
        <v>38</v>
      </c>
      <c r="B24" s="146" t="s">
        <v>323</v>
      </c>
      <c r="C24" s="127">
        <f>'1.1.sz.mell. '!C72</f>
        <v>850000000</v>
      </c>
      <c r="D24" s="157" t="s">
        <v>471</v>
      </c>
      <c r="E24" s="131"/>
      <c r="F24" s="1426"/>
    </row>
    <row r="25" spans="1:6" ht="12.95" customHeight="1" x14ac:dyDescent="0.2">
      <c r="A25" s="588" t="s">
        <v>39</v>
      </c>
      <c r="B25" s="147" t="s">
        <v>490</v>
      </c>
      <c r="C25" s="35"/>
      <c r="D25" s="147" t="s">
        <v>479</v>
      </c>
      <c r="E25" s="36"/>
      <c r="F25" s="1426"/>
    </row>
    <row r="26" spans="1:6" ht="12.95" customHeight="1" x14ac:dyDescent="0.2">
      <c r="A26" s="588" t="s">
        <v>40</v>
      </c>
      <c r="B26" s="1005" t="s">
        <v>268</v>
      </c>
      <c r="C26" s="35">
        <f>'1.1.sz.mell. '!C83</f>
        <v>48966750</v>
      </c>
      <c r="D26" s="147" t="s">
        <v>480</v>
      </c>
      <c r="E26" s="36"/>
      <c r="F26" s="1426"/>
    </row>
    <row r="27" spans="1:6" ht="12.95" customHeight="1" thickBot="1" x14ac:dyDescent="0.25">
      <c r="A27" s="591" t="s">
        <v>41</v>
      </c>
      <c r="B27" s="146" t="s">
        <v>281</v>
      </c>
      <c r="C27" s="127"/>
      <c r="D27" s="592" t="s">
        <v>531</v>
      </c>
      <c r="E27" s="131">
        <f>'1.1.sz.mell. '!C149</f>
        <v>48966750</v>
      </c>
      <c r="F27" s="1426"/>
    </row>
    <row r="28" spans="1:6" ht="21.75" customHeight="1" thickBot="1" x14ac:dyDescent="0.25">
      <c r="A28" s="145" t="s">
        <v>42</v>
      </c>
      <c r="B28" s="57" t="s">
        <v>491</v>
      </c>
      <c r="C28" s="126">
        <f>+C18+C23+C26+C27</f>
        <v>945827526</v>
      </c>
      <c r="D28" s="57" t="s">
        <v>492</v>
      </c>
      <c r="E28" s="130">
        <f>SUM(E18:E27)</f>
        <v>898966750</v>
      </c>
      <c r="F28" s="1426"/>
    </row>
    <row r="29" spans="1:6" ht="13.5" thickBot="1" x14ac:dyDescent="0.25">
      <c r="A29" s="145" t="s">
        <v>43</v>
      </c>
      <c r="B29" s="149" t="s">
        <v>493</v>
      </c>
      <c r="C29" s="301">
        <f>+C17+C28</f>
        <v>3652415941</v>
      </c>
      <c r="D29" s="149" t="s">
        <v>494</v>
      </c>
      <c r="E29" s="301">
        <f>E28+E17</f>
        <v>3636824411</v>
      </c>
      <c r="F29" s="1426"/>
    </row>
    <row r="30" spans="1:6" ht="13.5" thickBot="1" x14ac:dyDescent="0.25">
      <c r="A30" s="145" t="s">
        <v>44</v>
      </c>
      <c r="B30" s="149" t="s">
        <v>132</v>
      </c>
      <c r="C30" s="301">
        <f>IF(C17-E17&lt;0,E17-C17,"-")</f>
        <v>31269246</v>
      </c>
      <c r="D30" s="149" t="s">
        <v>133</v>
      </c>
      <c r="E30" s="301" t="str">
        <f>IF(C17-E17&gt;0,C17-E17,"-")</f>
        <v>-</v>
      </c>
      <c r="F30" s="1426"/>
    </row>
    <row r="31" spans="1:6" s="806" customFormat="1" ht="13.5" thickBot="1" x14ac:dyDescent="0.25">
      <c r="A31" s="145" t="s">
        <v>45</v>
      </c>
      <c r="B31" s="149" t="s">
        <v>831</v>
      </c>
      <c r="C31" s="301" t="str">
        <f>IF(C28-E28&lt;0,E28-C28,"-")</f>
        <v>-</v>
      </c>
      <c r="D31" s="149" t="s">
        <v>832</v>
      </c>
      <c r="E31" s="301">
        <f>IF(C28-E28&gt;0,C28-E28,"-")</f>
        <v>46860776</v>
      </c>
      <c r="F31" s="1426"/>
    </row>
    <row r="32" spans="1:6" ht="13.5" thickBot="1" x14ac:dyDescent="0.25">
      <c r="A32" s="145" t="s">
        <v>46</v>
      </c>
      <c r="B32" s="149" t="s">
        <v>177</v>
      </c>
      <c r="C32" s="150" t="str">
        <f>IF(C29-E29&lt;0,E29-C29,"-")</f>
        <v>-</v>
      </c>
      <c r="D32" s="149" t="s">
        <v>178</v>
      </c>
      <c r="E32" s="301">
        <f>IF(C29-E29&gt;0,C29-E29,"-")</f>
        <v>15591530</v>
      </c>
      <c r="F32" s="1426"/>
    </row>
    <row r="33" spans="2:4" ht="18.75" x14ac:dyDescent="0.2">
      <c r="B33" s="1429"/>
      <c r="C33" s="1429"/>
      <c r="D33" s="1429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zoomScaleSheetLayoutView="115" workbookViewId="0">
      <selection activeCell="D13" sqref="D13"/>
    </sheetView>
  </sheetViews>
  <sheetFormatPr defaultRowHeight="12.75" x14ac:dyDescent="0.2"/>
  <cols>
    <col min="1" max="1" width="6.83203125" style="31" customWidth="1"/>
    <col min="2" max="2" width="55.1640625" style="71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7.5" customHeight="1" thickBot="1" x14ac:dyDescent="0.25">
      <c r="A1" s="1433" t="s">
        <v>557</v>
      </c>
      <c r="B1" s="1433"/>
      <c r="C1" s="1433"/>
      <c r="D1" s="1433"/>
      <c r="E1" s="1433"/>
      <c r="F1" s="1426" t="str">
        <f>CONCATENATE("2.2. melléklet ",ALAPADATOK!A7," ",ALAPADATOK!B7," ",ALAPADATOK!C7," ",ALAPADATOK!D7," ",ALAPADATOK!E7," ",ALAPADATOK!F7," ",ALAPADATOK!G7," ",ALAPADATOK!H7)</f>
        <v>2.2. melléklet a 2 / 2021. ( II.15. ) önkormányzati rendelethez</v>
      </c>
    </row>
    <row r="2" spans="1:6" ht="13.5" thickBot="1" x14ac:dyDescent="0.25">
      <c r="A2" s="1431" t="s">
        <v>70</v>
      </c>
      <c r="B2" s="132" t="s">
        <v>56</v>
      </c>
      <c r="C2" s="133"/>
      <c r="D2" s="132" t="s">
        <v>57</v>
      </c>
      <c r="E2" s="134"/>
      <c r="F2" s="1426"/>
    </row>
    <row r="3" spans="1:6" s="135" customFormat="1" ht="24.75" thickBot="1" x14ac:dyDescent="0.25">
      <c r="A3" s="1432"/>
      <c r="B3" s="72" t="s">
        <v>62</v>
      </c>
      <c r="C3" s="29" t="s">
        <v>851</v>
      </c>
      <c r="D3" s="72" t="s">
        <v>62</v>
      </c>
      <c r="E3" s="29" t="s">
        <v>851</v>
      </c>
      <c r="F3" s="1426"/>
    </row>
    <row r="4" spans="1:6" s="135" customFormat="1" ht="13.5" thickBot="1" x14ac:dyDescent="0.25">
      <c r="A4" s="136" t="s">
        <v>434</v>
      </c>
      <c r="B4" s="137" t="s">
        <v>435</v>
      </c>
      <c r="C4" s="138" t="s">
        <v>436</v>
      </c>
      <c r="D4" s="137" t="s">
        <v>486</v>
      </c>
      <c r="E4" s="139" t="s">
        <v>487</v>
      </c>
      <c r="F4" s="1426"/>
    </row>
    <row r="5" spans="1:6" ht="12.95" customHeight="1" x14ac:dyDescent="0.2">
      <c r="A5" s="141" t="s">
        <v>19</v>
      </c>
      <c r="B5" s="142" t="s">
        <v>328</v>
      </c>
      <c r="C5" s="565">
        <f>'1.1.sz.mell. '!C27</f>
        <v>189408354</v>
      </c>
      <c r="D5" s="157" t="s">
        <v>170</v>
      </c>
      <c r="E5" s="34">
        <f>'1.1.sz.mell. '!C122</f>
        <v>612539782</v>
      </c>
      <c r="F5" s="1426"/>
    </row>
    <row r="6" spans="1:6" ht="12.75" customHeight="1" x14ac:dyDescent="0.2">
      <c r="A6" s="143" t="s">
        <v>20</v>
      </c>
      <c r="B6" s="144" t="s">
        <v>329</v>
      </c>
      <c r="C6" s="35">
        <f>'1.1.sz.mell. '!C33</f>
        <v>80423773</v>
      </c>
      <c r="D6" s="147" t="s">
        <v>334</v>
      </c>
      <c r="E6" s="280">
        <f>'1.1.sz.mell. '!C123</f>
        <v>401925076</v>
      </c>
      <c r="F6" s="1426"/>
    </row>
    <row r="7" spans="1:6" ht="12.95" customHeight="1" x14ac:dyDescent="0.2">
      <c r="A7" s="143" t="s">
        <v>21</v>
      </c>
      <c r="B7" s="144" t="s">
        <v>10</v>
      </c>
      <c r="C7" s="35">
        <f>'1.1.sz.mell. '!C53</f>
        <v>63000000</v>
      </c>
      <c r="D7" s="147" t="s">
        <v>150</v>
      </c>
      <c r="E7" s="280">
        <f>'1.1.sz.mell. '!C124</f>
        <v>359163430</v>
      </c>
      <c r="F7" s="1426"/>
    </row>
    <row r="8" spans="1:6" ht="12.95" customHeight="1" x14ac:dyDescent="0.2">
      <c r="A8" s="143" t="s">
        <v>22</v>
      </c>
      <c r="B8" s="144" t="s">
        <v>330</v>
      </c>
      <c r="C8" s="35">
        <f>'1.1.sz.mell. '!C64</f>
        <v>0</v>
      </c>
      <c r="D8" s="147" t="s">
        <v>335</v>
      </c>
      <c r="E8" s="280">
        <f>'1.1.sz.mell. '!C125</f>
        <v>290689778</v>
      </c>
      <c r="F8" s="1426"/>
    </row>
    <row r="9" spans="1:6" ht="12.75" customHeight="1" x14ac:dyDescent="0.2">
      <c r="A9" s="143" t="s">
        <v>23</v>
      </c>
      <c r="B9" s="144" t="s">
        <v>331</v>
      </c>
      <c r="C9" s="35"/>
      <c r="D9" s="147" t="s">
        <v>172</v>
      </c>
      <c r="E9" s="36">
        <f>'1.1.sz.mell. '!C126</f>
        <v>5911806</v>
      </c>
      <c r="F9" s="1426"/>
    </row>
    <row r="10" spans="1:6" ht="12.95" customHeight="1" x14ac:dyDescent="0.2">
      <c r="A10" s="143" t="s">
        <v>24</v>
      </c>
      <c r="B10" s="144" t="s">
        <v>332</v>
      </c>
      <c r="C10" s="271"/>
      <c r="D10" s="260"/>
      <c r="E10" s="36"/>
      <c r="F10" s="1426"/>
    </row>
    <row r="11" spans="1:6" ht="12.95" customHeight="1" x14ac:dyDescent="0.2">
      <c r="A11" s="143" t="s">
        <v>25</v>
      </c>
      <c r="B11" s="30"/>
      <c r="C11" s="35"/>
      <c r="D11" s="260"/>
      <c r="E11" s="36"/>
      <c r="F11" s="1426"/>
    </row>
    <row r="12" spans="1:6" ht="12.95" customHeight="1" x14ac:dyDescent="0.2">
      <c r="A12" s="143" t="s">
        <v>26</v>
      </c>
      <c r="B12" s="30"/>
      <c r="C12" s="35"/>
      <c r="D12" s="260"/>
      <c r="E12" s="36"/>
      <c r="F12" s="1426"/>
    </row>
    <row r="13" spans="1:6" ht="12.95" customHeight="1" x14ac:dyDescent="0.2">
      <c r="A13" s="143" t="s">
        <v>27</v>
      </c>
      <c r="B13" s="261"/>
      <c r="C13" s="271"/>
      <c r="D13" s="260"/>
      <c r="E13" s="36"/>
      <c r="F13" s="1426"/>
    </row>
    <row r="14" spans="1:6" x14ac:dyDescent="0.2">
      <c r="A14" s="143" t="s">
        <v>28</v>
      </c>
      <c r="B14" s="30"/>
      <c r="C14" s="271"/>
      <c r="D14" s="260"/>
      <c r="E14" s="36"/>
      <c r="F14" s="1426"/>
    </row>
    <row r="15" spans="1:6" ht="12.95" customHeight="1" thickBot="1" x14ac:dyDescent="0.25">
      <c r="A15" s="180" t="s">
        <v>29</v>
      </c>
      <c r="B15" s="205"/>
      <c r="C15" s="297"/>
      <c r="D15" s="146" t="s">
        <v>50</v>
      </c>
      <c r="E15" s="131">
        <f>86516687+7058824</f>
        <v>93575511</v>
      </c>
      <c r="F15" s="1426"/>
    </row>
    <row r="16" spans="1:6" ht="15.95" customHeight="1" thickBot="1" x14ac:dyDescent="0.25">
      <c r="A16" s="145" t="s">
        <v>30</v>
      </c>
      <c r="B16" s="57" t="s">
        <v>342</v>
      </c>
      <c r="C16" s="126">
        <f>+C5+C7+C8+C10+C11+C12+C13+C14+C15</f>
        <v>252408354</v>
      </c>
      <c r="D16" s="57" t="s">
        <v>343</v>
      </c>
      <c r="E16" s="130">
        <f>+E5+E7+E9+E10+E11+E12+E13+E14+E15</f>
        <v>1071190529</v>
      </c>
      <c r="F16" s="1426"/>
    </row>
    <row r="17" spans="1:6" ht="12.95" customHeight="1" x14ac:dyDescent="0.2">
      <c r="A17" s="141" t="s">
        <v>31</v>
      </c>
      <c r="B17" s="153" t="s">
        <v>190</v>
      </c>
      <c r="C17" s="160">
        <f>+C18+C19+C20+C21+C22</f>
        <v>809621863</v>
      </c>
      <c r="D17" s="147" t="s">
        <v>154</v>
      </c>
      <c r="E17" s="34"/>
      <c r="F17" s="1426"/>
    </row>
    <row r="18" spans="1:6" ht="12.95" customHeight="1" x14ac:dyDescent="0.2">
      <c r="A18" s="143" t="s">
        <v>32</v>
      </c>
      <c r="B18" s="154" t="s">
        <v>179</v>
      </c>
      <c r="C18" s="35">
        <v>809621863</v>
      </c>
      <c r="D18" s="147" t="s">
        <v>157</v>
      </c>
      <c r="E18" s="36">
        <f>SUM(E19:E20)</f>
        <v>24993747</v>
      </c>
      <c r="F18" s="1426"/>
    </row>
    <row r="19" spans="1:6" ht="12.95" customHeight="1" x14ac:dyDescent="0.2">
      <c r="A19" s="141" t="s">
        <v>33</v>
      </c>
      <c r="B19" s="154" t="s">
        <v>180</v>
      </c>
      <c r="C19" s="35"/>
      <c r="D19" s="675" t="s">
        <v>129</v>
      </c>
      <c r="E19" s="36"/>
      <c r="F19" s="1426"/>
    </row>
    <row r="20" spans="1:6" ht="12.95" customHeight="1" x14ac:dyDescent="0.2">
      <c r="A20" s="143" t="s">
        <v>34</v>
      </c>
      <c r="B20" s="154" t="s">
        <v>181</v>
      </c>
      <c r="C20" s="35"/>
      <c r="D20" s="675" t="s">
        <v>130</v>
      </c>
      <c r="E20" s="36">
        <f>'1.1.sz.mell. '!C137</f>
        <v>24993747</v>
      </c>
      <c r="F20" s="1426"/>
    </row>
    <row r="21" spans="1:6" ht="12.95" customHeight="1" x14ac:dyDescent="0.2">
      <c r="A21" s="141" t="s">
        <v>35</v>
      </c>
      <c r="B21" s="154" t="s">
        <v>182</v>
      </c>
      <c r="C21" s="35"/>
      <c r="D21" s="146" t="s">
        <v>176</v>
      </c>
      <c r="E21" s="36"/>
      <c r="F21" s="1426"/>
    </row>
    <row r="22" spans="1:6" ht="12.95" customHeight="1" x14ac:dyDescent="0.2">
      <c r="A22" s="143" t="s">
        <v>36</v>
      </c>
      <c r="B22" s="155" t="s">
        <v>183</v>
      </c>
      <c r="C22" s="35"/>
      <c r="D22" s="147" t="s">
        <v>158</v>
      </c>
      <c r="E22" s="36"/>
      <c r="F22" s="1426"/>
    </row>
    <row r="23" spans="1:6" ht="12.95" customHeight="1" x14ac:dyDescent="0.2">
      <c r="A23" s="141" t="s">
        <v>37</v>
      </c>
      <c r="B23" s="156" t="s">
        <v>184</v>
      </c>
      <c r="C23" s="430">
        <f>+C24+C25+C26+C27+C28</f>
        <v>18562529</v>
      </c>
      <c r="D23" s="157" t="s">
        <v>156</v>
      </c>
      <c r="E23" s="36"/>
      <c r="F23" s="1426"/>
    </row>
    <row r="24" spans="1:6" ht="12.95" customHeight="1" x14ac:dyDescent="0.2">
      <c r="A24" s="143" t="s">
        <v>38</v>
      </c>
      <c r="B24" s="155" t="s">
        <v>185</v>
      </c>
      <c r="C24" s="35">
        <f>'1.1.sz.mell. '!C71</f>
        <v>18562529</v>
      </c>
      <c r="D24" s="157" t="s">
        <v>336</v>
      </c>
      <c r="E24" s="36"/>
      <c r="F24" s="1426"/>
    </row>
    <row r="25" spans="1:6" ht="12.95" customHeight="1" x14ac:dyDescent="0.2">
      <c r="A25" s="141" t="s">
        <v>39</v>
      </c>
      <c r="B25" s="155" t="s">
        <v>186</v>
      </c>
      <c r="C25" s="35"/>
      <c r="D25" s="152"/>
      <c r="E25" s="36"/>
      <c r="F25" s="1426"/>
    </row>
    <row r="26" spans="1:6" ht="12.95" customHeight="1" x14ac:dyDescent="0.2">
      <c r="A26" s="143" t="s">
        <v>40</v>
      </c>
      <c r="B26" s="154" t="s">
        <v>187</v>
      </c>
      <c r="C26" s="35"/>
      <c r="D26" s="152"/>
      <c r="E26" s="36"/>
      <c r="F26" s="1426"/>
    </row>
    <row r="27" spans="1:6" ht="12.95" customHeight="1" x14ac:dyDescent="0.2">
      <c r="A27" s="141" t="s">
        <v>41</v>
      </c>
      <c r="B27" s="158" t="s">
        <v>188</v>
      </c>
      <c r="C27" s="35"/>
      <c r="D27" s="296"/>
      <c r="E27" s="36"/>
      <c r="F27" s="1426"/>
    </row>
    <row r="28" spans="1:6" ht="12.95" customHeight="1" thickBot="1" x14ac:dyDescent="0.25">
      <c r="A28" s="143" t="s">
        <v>42</v>
      </c>
      <c r="B28" s="159" t="s">
        <v>189</v>
      </c>
      <c r="C28" s="35"/>
      <c r="D28" s="152"/>
      <c r="E28" s="36"/>
      <c r="F28" s="1426"/>
    </row>
    <row r="29" spans="1:6" ht="21.75" customHeight="1" thickBot="1" x14ac:dyDescent="0.25">
      <c r="A29" s="145" t="s">
        <v>43</v>
      </c>
      <c r="B29" s="57" t="s">
        <v>333</v>
      </c>
      <c r="C29" s="126">
        <f>+C17+C23</f>
        <v>828184392</v>
      </c>
      <c r="D29" s="57" t="s">
        <v>337</v>
      </c>
      <c r="E29" s="130">
        <f>SUM(E17:E28)-E19-E20</f>
        <v>24993747</v>
      </c>
      <c r="F29" s="1426"/>
    </row>
    <row r="30" spans="1:6" ht="13.5" thickBot="1" x14ac:dyDescent="0.25">
      <c r="A30" s="145" t="s">
        <v>44</v>
      </c>
      <c r="B30" s="149" t="s">
        <v>338</v>
      </c>
      <c r="C30" s="150">
        <f>+C16+C29</f>
        <v>1080592746</v>
      </c>
      <c r="D30" s="149" t="s">
        <v>339</v>
      </c>
      <c r="E30" s="150">
        <f>+E16+E29</f>
        <v>1096184276</v>
      </c>
      <c r="F30" s="1426"/>
    </row>
    <row r="31" spans="1:6" ht="13.5" thickBot="1" x14ac:dyDescent="0.25">
      <c r="A31" s="145" t="s">
        <v>45</v>
      </c>
      <c r="B31" s="149" t="s">
        <v>132</v>
      </c>
      <c r="C31" s="150">
        <f>IF(C16-E16&lt;0,E16-C16,"-")</f>
        <v>818782175</v>
      </c>
      <c r="D31" s="149" t="s">
        <v>133</v>
      </c>
      <c r="E31" s="150" t="str">
        <f>IF(C16-E16&gt;0,C16-E16,"-")</f>
        <v>-</v>
      </c>
      <c r="F31" s="1426"/>
    </row>
    <row r="32" spans="1:6" s="806" customFormat="1" ht="13.5" thickBot="1" x14ac:dyDescent="0.25">
      <c r="A32" s="145" t="s">
        <v>46</v>
      </c>
      <c r="B32" s="149" t="s">
        <v>831</v>
      </c>
      <c r="C32" s="301" t="str">
        <f>IF(C29-E29&lt;0,E29-C29,"-")</f>
        <v>-</v>
      </c>
      <c r="D32" s="149" t="s">
        <v>832</v>
      </c>
      <c r="E32" s="301">
        <f>IF(C29-E29&gt;0,C29-E29,"-")</f>
        <v>803190645</v>
      </c>
      <c r="F32" s="1426"/>
    </row>
    <row r="33" spans="1:6" ht="13.5" thickBot="1" x14ac:dyDescent="0.25">
      <c r="A33" s="145" t="s">
        <v>833</v>
      </c>
      <c r="B33" s="149" t="s">
        <v>177</v>
      </c>
      <c r="C33" s="150">
        <f>IF(C30-E30&lt;0,E30-C30,"-")</f>
        <v>15591530</v>
      </c>
      <c r="D33" s="149" t="s">
        <v>178</v>
      </c>
      <c r="E33" s="150" t="str">
        <f>IF(C30-E30&gt;0,C30-E30,"-")</f>
        <v>-</v>
      </c>
      <c r="F33" s="1426"/>
    </row>
    <row r="34" spans="1:6" x14ac:dyDescent="0.2">
      <c r="C34" s="380"/>
      <c r="D34" s="380"/>
      <c r="E34" s="380"/>
    </row>
    <row r="35" spans="1:6" x14ac:dyDescent="0.2">
      <c r="C35" s="380"/>
      <c r="D35" s="380"/>
      <c r="E35" s="380"/>
    </row>
    <row r="36" spans="1:6" x14ac:dyDescent="0.2">
      <c r="C36" s="380"/>
      <c r="D36" s="380"/>
      <c r="E36" s="380"/>
    </row>
    <row r="37" spans="1:6" x14ac:dyDescent="0.2">
      <c r="C37" s="380"/>
      <c r="D37" s="380"/>
      <c r="E37" s="380"/>
    </row>
    <row r="38" spans="1:6" x14ac:dyDescent="0.2">
      <c r="C38" s="380"/>
      <c r="D38" s="380"/>
      <c r="E38" s="380"/>
    </row>
    <row r="39" spans="1:6" x14ac:dyDescent="0.2">
      <c r="C39" s="380"/>
      <c r="D39" s="380"/>
      <c r="E39" s="380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16" sqref="C16"/>
    </sheetView>
  </sheetViews>
  <sheetFormatPr defaultRowHeight="12.75" x14ac:dyDescent="0.2"/>
  <cols>
    <col min="1" max="1" width="46.33203125" style="805" customWidth="1"/>
    <col min="2" max="2" width="16.83203125" style="805" customWidth="1"/>
    <col min="3" max="3" width="66.1640625" style="805" customWidth="1"/>
    <col min="4" max="4" width="13.83203125" style="805" customWidth="1"/>
    <col min="5" max="5" width="17.6640625" style="805" customWidth="1"/>
    <col min="6" max="16384" width="9.33203125" style="805"/>
  </cols>
  <sheetData>
    <row r="1" spans="1:5" ht="18.75" x14ac:dyDescent="0.3">
      <c r="A1" s="802" t="s">
        <v>769</v>
      </c>
      <c r="E1" s="803" t="s">
        <v>770</v>
      </c>
    </row>
    <row r="3" spans="1:5" x14ac:dyDescent="0.2">
      <c r="A3" s="804"/>
      <c r="B3" s="807"/>
      <c r="C3" s="804"/>
      <c r="D3" s="808"/>
      <c r="E3" s="807"/>
    </row>
    <row r="4" spans="1:5" ht="15.75" x14ac:dyDescent="0.25">
      <c r="A4" s="809" t="s">
        <v>871</v>
      </c>
      <c r="B4" s="810"/>
      <c r="C4" s="811"/>
      <c r="D4" s="808"/>
      <c r="E4" s="807"/>
    </row>
    <row r="5" spans="1:5" x14ac:dyDescent="0.2">
      <c r="A5" s="804"/>
      <c r="B5" s="807"/>
      <c r="C5" s="804"/>
      <c r="D5" s="808"/>
      <c r="E5" s="807"/>
    </row>
    <row r="6" spans="1:5" x14ac:dyDescent="0.2">
      <c r="A6" s="804" t="s">
        <v>771</v>
      </c>
      <c r="B6" s="807">
        <f>'1.1.sz.mell. '!C69</f>
        <v>2958996769</v>
      </c>
      <c r="C6" s="804" t="s">
        <v>772</v>
      </c>
      <c r="D6" s="808">
        <f>'2.1.sz.mell '!C17+'2.2.sz.mell .'!C16</f>
        <v>2958996769</v>
      </c>
      <c r="E6" s="807">
        <f t="shared" ref="E6:E15" si="0">+B6-D6</f>
        <v>0</v>
      </c>
    </row>
    <row r="7" spans="1:5" x14ac:dyDescent="0.2">
      <c r="A7" s="804" t="s">
        <v>773</v>
      </c>
      <c r="B7" s="807">
        <f>'1.1.sz.mell. '!C93</f>
        <v>1774011918</v>
      </c>
      <c r="C7" s="804" t="s">
        <v>774</v>
      </c>
      <c r="D7" s="808">
        <f>'2.1.sz.mell '!C28+'2.2.sz.mell .'!C29</f>
        <v>1774011918</v>
      </c>
      <c r="E7" s="807">
        <f t="shared" si="0"/>
        <v>0</v>
      </c>
    </row>
    <row r="8" spans="1:5" x14ac:dyDescent="0.2">
      <c r="A8" s="804" t="s">
        <v>775</v>
      </c>
      <c r="B8" s="807">
        <f>'1.1.sz.mell. '!C94</f>
        <v>4733008687</v>
      </c>
      <c r="C8" s="804" t="s">
        <v>776</v>
      </c>
      <c r="D8" s="808">
        <f>'2.1.sz.mell '!C29+'2.2.sz.mell .'!C30</f>
        <v>4733008687</v>
      </c>
      <c r="E8" s="807">
        <f t="shared" si="0"/>
        <v>0</v>
      </c>
    </row>
    <row r="9" spans="1:5" x14ac:dyDescent="0.2">
      <c r="A9" s="804"/>
      <c r="B9" s="807"/>
      <c r="C9" s="804"/>
      <c r="D9" s="808"/>
      <c r="E9" s="807"/>
    </row>
    <row r="10" spans="1:5" x14ac:dyDescent="0.2">
      <c r="A10" s="804"/>
      <c r="B10" s="807"/>
      <c r="C10" s="804"/>
      <c r="D10" s="808"/>
      <c r="E10" s="807"/>
    </row>
    <row r="11" spans="1:5" ht="15.75" x14ac:dyDescent="0.25">
      <c r="A11" s="809" t="s">
        <v>870</v>
      </c>
      <c r="B11" s="810"/>
      <c r="C11" s="811"/>
      <c r="D11" s="808"/>
      <c r="E11" s="807"/>
    </row>
    <row r="12" spans="1:5" x14ac:dyDescent="0.2">
      <c r="A12" s="804"/>
      <c r="B12" s="807"/>
      <c r="C12" s="804"/>
      <c r="D12" s="808"/>
      <c r="E12" s="807"/>
    </row>
    <row r="13" spans="1:5" x14ac:dyDescent="0.2">
      <c r="A13" s="804" t="s">
        <v>777</v>
      </c>
      <c r="B13" s="807">
        <f>'1.1.sz.mell. '!C135</f>
        <v>3809048190</v>
      </c>
      <c r="C13" s="804" t="s">
        <v>778</v>
      </c>
      <c r="D13" s="808">
        <f>'2.1.sz.mell '!E17+'2.2.sz.mell .'!E16</f>
        <v>3809048190</v>
      </c>
      <c r="E13" s="807">
        <f t="shared" si="0"/>
        <v>0</v>
      </c>
    </row>
    <row r="14" spans="1:5" x14ac:dyDescent="0.2">
      <c r="A14" s="804" t="s">
        <v>779</v>
      </c>
      <c r="B14" s="807">
        <f>'1.1.sz.mell. '!C160</f>
        <v>923960497</v>
      </c>
      <c r="C14" s="804" t="s">
        <v>780</v>
      </c>
      <c r="D14" s="808">
        <f>'2.1.sz.mell '!E28+'2.2.sz.mell .'!E29</f>
        <v>923960497</v>
      </c>
      <c r="E14" s="807">
        <f t="shared" si="0"/>
        <v>0</v>
      </c>
    </row>
    <row r="15" spans="1:5" x14ac:dyDescent="0.2">
      <c r="A15" s="804" t="s">
        <v>781</v>
      </c>
      <c r="B15" s="807">
        <f>'1.1.sz.mell. '!C161</f>
        <v>4733008687</v>
      </c>
      <c r="C15" s="804" t="s">
        <v>782</v>
      </c>
      <c r="D15" s="808">
        <f>'2.1.sz.mell '!E29+'2.2.sz.mell .'!E30</f>
        <v>4733008687</v>
      </c>
      <c r="E15" s="807">
        <f t="shared" si="0"/>
        <v>0</v>
      </c>
    </row>
    <row r="16" spans="1:5" x14ac:dyDescent="0.2">
      <c r="A16" s="812"/>
      <c r="B16" s="812"/>
      <c r="C16" s="804"/>
      <c r="D16" s="808"/>
      <c r="E16" s="813"/>
    </row>
    <row r="17" spans="1:5" x14ac:dyDescent="0.2">
      <c r="A17" s="812"/>
      <c r="B17" s="812"/>
      <c r="C17" s="812"/>
      <c r="D17" s="812"/>
      <c r="E17" s="812"/>
    </row>
    <row r="18" spans="1:5" x14ac:dyDescent="0.2">
      <c r="A18" s="812"/>
      <c r="B18" s="812"/>
      <c r="C18" s="812"/>
      <c r="D18" s="812"/>
      <c r="E18" s="812"/>
    </row>
    <row r="19" spans="1:5" x14ac:dyDescent="0.2">
      <c r="A19" s="812"/>
      <c r="B19" s="812"/>
      <c r="C19" s="812"/>
      <c r="D19" s="812"/>
      <c r="E19" s="812"/>
    </row>
  </sheetData>
  <conditionalFormatting sqref="E3:E15">
    <cfRule type="cellIs" dxfId="59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36</vt:i4>
      </vt:variant>
    </vt:vector>
  </HeadingPairs>
  <TitlesOfParts>
    <vt:vector size="91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'9.7.2. sz. mell TIB'!Nyomtatási_terület</vt:lpstr>
      <vt:lpstr>'9.sz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2021-02-15T10:43:01Z</cp:lastPrinted>
  <dcterms:created xsi:type="dcterms:W3CDTF">1999-10-30T10:30:45Z</dcterms:created>
  <dcterms:modified xsi:type="dcterms:W3CDTF">2021-02-15T10:43:02Z</dcterms:modified>
</cp:coreProperties>
</file>