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360" yWindow="-405" windowWidth="10275" windowHeight="7140" tabRatio="705" firstSheet="30" activeTab="34"/>
  </bookViews>
  <sheets>
    <sheet name="1.sz.mell." sheetId="119" r:id="rId1"/>
    <sheet name="2.1.sz.mell  " sheetId="120" r:id="rId2"/>
    <sheet name="2.2.sz.mell  " sheetId="121" r:id="rId3"/>
    <sheet name="3.1.sz.mell." sheetId="122" r:id="rId4"/>
    <sheet name="3.2sz.mell." sheetId="231" r:id="rId5"/>
    <sheet name="4.sz.mell." sheetId="123" r:id="rId6"/>
    <sheet name="5.1sz. mell." sheetId="239" r:id="rId7"/>
    <sheet name="5.2sz. mell." sheetId="240" r:id="rId8"/>
    <sheet name="5.3sz. mell." sheetId="241" r:id="rId9"/>
    <sheet name="5.4sz. mell." sheetId="242" r:id="rId10"/>
    <sheet name="5.5sz. mell." sheetId="238" r:id="rId11"/>
    <sheet name="5.6sz. mell." sheetId="237" r:id="rId12"/>
    <sheet name="5.7sz. mell." sheetId="244" r:id="rId13"/>
    <sheet name="5.8sz. mell. " sheetId="243" r:id="rId14"/>
    <sheet name="6. sz. mell" sheetId="125" r:id="rId15"/>
    <sheet name="számoló" sheetId="245" state="hidden" r:id="rId16"/>
    <sheet name="7.1. sz. mell" sheetId="126" r:id="rId17"/>
    <sheet name=" 7.2.sz.mell." sheetId="232" r:id="rId18"/>
    <sheet name="7.3. sz. mell." sheetId="233" r:id="rId19"/>
    <sheet name="7.4. sz. mell." sheetId="234" r:id="rId20"/>
    <sheet name="7.5. sz. mell." sheetId="235" r:id="rId21"/>
    <sheet name="7.6. sz. mell. " sheetId="236" r:id="rId22"/>
    <sheet name="8. sz. mell" sheetId="208" r:id="rId23"/>
    <sheet name="1. tájékoztató tábla " sheetId="230" r:id="rId24"/>
    <sheet name="2. tájékoztató tábla" sheetId="228" r:id="rId25"/>
    <sheet name="3. tájékoztató tábla" sheetId="138" r:id="rId26"/>
    <sheet name="4. tájékoztató tábla " sheetId="207" r:id="rId27"/>
    <sheet name="5.1. tájékoztató tábla" sheetId="229" r:id="rId28"/>
    <sheet name="5.2. tájékoztató tábla" sheetId="198" r:id="rId29"/>
    <sheet name="5.3. tájékoztató tábla" sheetId="199" r:id="rId30"/>
    <sheet name="5.4. tájékoztató tábla" sheetId="143" r:id="rId31"/>
    <sheet name="6. tájékoztató tábla" sheetId="203" r:id="rId32"/>
    <sheet name="7. tájékoztató tábla" sheetId="204" r:id="rId33"/>
    <sheet name="8. tájékoztató tábla" sheetId="146" r:id="rId34"/>
    <sheet name="9. tájékoztató" sheetId="172" r:id="rId35"/>
    <sheet name="10. tájékoztató tábla " sheetId="173" r:id="rId36"/>
  </sheets>
  <definedNames>
    <definedName name="_ftn1" localSheetId="29">'5.3. tájékoztató tábla'!$A$29</definedName>
    <definedName name="_ftnref1" localSheetId="29">'5.3. tájékoztató tábla'!$A$20</definedName>
    <definedName name="_xlnm.Print_Titles" localSheetId="17">' 7.2.sz.mell.'!$1:$6</definedName>
    <definedName name="_xlnm.Print_Titles" localSheetId="27">'5.1. tájékoztató tábla'!$3:$7</definedName>
    <definedName name="_xlnm.Print_Titles" localSheetId="14">'6. sz. mell'!$1:$6</definedName>
    <definedName name="_xlnm.Print_Titles" localSheetId="16">'7.1. sz. mell'!$1:$6</definedName>
    <definedName name="_xlnm.Print_Titles" localSheetId="18">'7.3. sz. mell.'!$1:$6</definedName>
    <definedName name="_xlnm.Print_Titles" localSheetId="19">'7.4. sz. mell.'!$1:$6</definedName>
    <definedName name="_xlnm.Print_Titles" localSheetId="20">'7.5. sz. mell.'!$1:$6</definedName>
    <definedName name="_xlnm.Print_Titles" localSheetId="21">'7.6. sz. mell. '!$1:$6</definedName>
    <definedName name="_xlnm.Print_Area" localSheetId="0">'1.sz.mell.'!$A$1:$E$148</definedName>
    <definedName name="_xlnm.Print_Area" localSheetId="1">'2.1.sz.mell  '!$A$1:$J$33</definedName>
    <definedName name="_xlnm.Print_Area" localSheetId="27">'5.1. tájékoztató tábla'!$A$1:$E$75</definedName>
    <definedName name="_xlnm.Print_Area" localSheetId="34">'9. tájékoztató'!$A$1:$E$146</definedName>
  </definedNames>
  <calcPr calcId="145621"/>
</workbook>
</file>

<file path=xl/calcChain.xml><?xml version="1.0" encoding="utf-8"?>
<calcChain xmlns="http://schemas.openxmlformats.org/spreadsheetml/2006/main">
  <c r="E45" i="245" l="1"/>
  <c r="E46" i="245"/>
  <c r="E47" i="245"/>
  <c r="E48" i="245"/>
  <c r="E49" i="245"/>
  <c r="E50" i="245"/>
  <c r="E51" i="245"/>
  <c r="E52" i="245"/>
  <c r="E53" i="245"/>
  <c r="E54" i="245"/>
  <c r="E55" i="245"/>
  <c r="D45" i="245"/>
  <c r="D46" i="245"/>
  <c r="D47" i="245"/>
  <c r="D48" i="245"/>
  <c r="D49" i="245"/>
  <c r="D50" i="245"/>
  <c r="D51" i="245"/>
  <c r="D52" i="245"/>
  <c r="D53" i="245"/>
  <c r="D54" i="245"/>
  <c r="D55" i="245"/>
  <c r="D44" i="245"/>
  <c r="E44" i="245"/>
  <c r="C45" i="245"/>
  <c r="C46" i="245"/>
  <c r="C47" i="245"/>
  <c r="C48" i="245"/>
  <c r="C49" i="245"/>
  <c r="C50" i="245"/>
  <c r="C51" i="245"/>
  <c r="C52" i="245"/>
  <c r="C53" i="245"/>
  <c r="C54" i="245"/>
  <c r="C55" i="245"/>
  <c r="C44" i="245"/>
  <c r="E9" i="245"/>
  <c r="E10" i="245"/>
  <c r="E11" i="245"/>
  <c r="E12" i="245"/>
  <c r="E13" i="245"/>
  <c r="E14" i="245"/>
  <c r="E15" i="245"/>
  <c r="E16" i="245"/>
  <c r="E17" i="245"/>
  <c r="E18" i="245"/>
  <c r="E19" i="245"/>
  <c r="E20" i="245"/>
  <c r="E21" i="245"/>
  <c r="E22" i="245"/>
  <c r="E23" i="245"/>
  <c r="E24" i="245"/>
  <c r="E25" i="245"/>
  <c r="E26" i="245"/>
  <c r="E27" i="245"/>
  <c r="E28" i="245"/>
  <c r="E29" i="245"/>
  <c r="E30" i="245"/>
  <c r="E31" i="245"/>
  <c r="E32" i="245"/>
  <c r="E33" i="245"/>
  <c r="E34" i="245"/>
  <c r="E35" i="245"/>
  <c r="E36" i="245"/>
  <c r="E37" i="245"/>
  <c r="E38" i="245"/>
  <c r="E39" i="245"/>
  <c r="E40" i="245"/>
  <c r="D9" i="245"/>
  <c r="D10" i="245"/>
  <c r="D11" i="245"/>
  <c r="D12" i="245"/>
  <c r="D13" i="245"/>
  <c r="D14" i="245"/>
  <c r="D15" i="245"/>
  <c r="D16" i="245"/>
  <c r="D17" i="245"/>
  <c r="D18" i="245"/>
  <c r="D19" i="245"/>
  <c r="D20" i="245"/>
  <c r="D21" i="245"/>
  <c r="D22" i="245"/>
  <c r="D23" i="245"/>
  <c r="D24" i="245"/>
  <c r="D25" i="245"/>
  <c r="D26" i="245"/>
  <c r="D27" i="245"/>
  <c r="D28" i="245"/>
  <c r="D29" i="245"/>
  <c r="D30" i="245"/>
  <c r="D31" i="245"/>
  <c r="D32" i="245"/>
  <c r="D33" i="245"/>
  <c r="D34" i="245"/>
  <c r="D35" i="245"/>
  <c r="D36" i="245"/>
  <c r="D37" i="245"/>
  <c r="D38" i="245"/>
  <c r="D39" i="245"/>
  <c r="D40" i="245"/>
  <c r="D8" i="245"/>
  <c r="E8" i="245"/>
  <c r="C9" i="245"/>
  <c r="C10" i="245"/>
  <c r="C11" i="245"/>
  <c r="C12" i="245"/>
  <c r="C13" i="245"/>
  <c r="C14" i="245"/>
  <c r="C15" i="245"/>
  <c r="C16" i="245"/>
  <c r="C17" i="245"/>
  <c r="C18" i="245"/>
  <c r="C19" i="245"/>
  <c r="C20" i="245"/>
  <c r="C21" i="245"/>
  <c r="C22" i="245"/>
  <c r="C23" i="245"/>
  <c r="C24" i="245"/>
  <c r="C25" i="245"/>
  <c r="C26" i="245"/>
  <c r="C27" i="245"/>
  <c r="C28" i="245"/>
  <c r="C29" i="245"/>
  <c r="C30" i="245"/>
  <c r="C31" i="245"/>
  <c r="C32" i="245"/>
  <c r="C33" i="245"/>
  <c r="C34" i="245"/>
  <c r="C35" i="245"/>
  <c r="C36" i="245"/>
  <c r="C37" i="245"/>
  <c r="C38" i="245"/>
  <c r="C39" i="245"/>
  <c r="C40" i="245"/>
  <c r="C8" i="245"/>
  <c r="H148" i="119" l="1"/>
  <c r="D28" i="120"/>
  <c r="C28" i="120"/>
  <c r="D24" i="120"/>
  <c r="F87" i="119"/>
  <c r="H87" i="119"/>
  <c r="C55" i="229" l="1"/>
  <c r="C10" i="146" l="1"/>
  <c r="C9" i="146"/>
  <c r="C5" i="146"/>
  <c r="C24" i="237" l="1"/>
  <c r="M24" i="237" s="1"/>
  <c r="D24" i="237"/>
  <c r="E24" i="237"/>
  <c r="F24" i="237"/>
  <c r="G24" i="237"/>
  <c r="H24" i="237"/>
  <c r="I24" i="237"/>
  <c r="J24" i="237"/>
  <c r="K24" i="237"/>
  <c r="L24" i="237"/>
  <c r="B24" i="237"/>
  <c r="C15" i="237"/>
  <c r="M15" i="237" s="1"/>
  <c r="D15" i="237"/>
  <c r="E15" i="237"/>
  <c r="F15" i="237"/>
  <c r="G15" i="237"/>
  <c r="H15" i="237"/>
  <c r="I15" i="237"/>
  <c r="J15" i="237"/>
  <c r="K15" i="237"/>
  <c r="B15" i="237"/>
  <c r="M23" i="237"/>
  <c r="M22" i="237"/>
  <c r="M21" i="237"/>
  <c r="M20" i="237"/>
  <c r="M19" i="237"/>
  <c r="M18" i="237"/>
  <c r="M14" i="237"/>
  <c r="M13" i="237"/>
  <c r="M12" i="237"/>
  <c r="M11" i="237"/>
  <c r="M10" i="237"/>
  <c r="M9" i="237"/>
  <c r="M8" i="237"/>
  <c r="M24" i="238"/>
  <c r="M23" i="238"/>
  <c r="M22" i="238"/>
  <c r="M21" i="238"/>
  <c r="M20" i="238"/>
  <c r="M19" i="238"/>
  <c r="M18" i="238"/>
  <c r="M15" i="238"/>
  <c r="M14" i="238"/>
  <c r="M13" i="238"/>
  <c r="M12" i="238"/>
  <c r="M11" i="238"/>
  <c r="M10" i="238"/>
  <c r="M9" i="238"/>
  <c r="M8" i="238"/>
  <c r="C24" i="238"/>
  <c r="D24" i="238"/>
  <c r="E24" i="238"/>
  <c r="F24" i="238"/>
  <c r="G24" i="238"/>
  <c r="H24" i="238"/>
  <c r="I24" i="238"/>
  <c r="J24" i="238"/>
  <c r="K24" i="238"/>
  <c r="L24" i="238"/>
  <c r="B24" i="238"/>
  <c r="C15" i="238"/>
  <c r="D15" i="238"/>
  <c r="E15" i="238"/>
  <c r="F15" i="238"/>
  <c r="G15" i="238"/>
  <c r="H15" i="238"/>
  <c r="I15" i="238"/>
  <c r="J15" i="238"/>
  <c r="K15" i="238"/>
  <c r="L15" i="238"/>
  <c r="B15" i="238"/>
  <c r="M24" i="242"/>
  <c r="M23" i="242"/>
  <c r="M22" i="242"/>
  <c r="M21" i="242"/>
  <c r="M20" i="242"/>
  <c r="M19" i="242"/>
  <c r="M18" i="242"/>
  <c r="M15" i="242"/>
  <c r="M14" i="242"/>
  <c r="M13" i="242"/>
  <c r="M12" i="242"/>
  <c r="M11" i="242"/>
  <c r="M10" i="242"/>
  <c r="M9" i="242"/>
  <c r="M8" i="242"/>
  <c r="M24" i="241"/>
  <c r="M23" i="241"/>
  <c r="M22" i="241"/>
  <c r="M21" i="241"/>
  <c r="M20" i="241"/>
  <c r="M19" i="241"/>
  <c r="M18" i="241"/>
  <c r="M15" i="241"/>
  <c r="M14" i="241"/>
  <c r="M13" i="241"/>
  <c r="M12" i="241"/>
  <c r="M11" i="241"/>
  <c r="M10" i="241"/>
  <c r="M9" i="241"/>
  <c r="M8" i="241"/>
  <c r="M24" i="240"/>
  <c r="M23" i="240"/>
  <c r="M22" i="240"/>
  <c r="M21" i="240"/>
  <c r="M20" i="240"/>
  <c r="M19" i="240"/>
  <c r="M18" i="240"/>
  <c r="M15" i="240"/>
  <c r="M14" i="240"/>
  <c r="M13" i="240"/>
  <c r="M12" i="240"/>
  <c r="M11" i="240"/>
  <c r="M10" i="240"/>
  <c r="M9" i="240"/>
  <c r="M8" i="240"/>
  <c r="M24" i="239"/>
  <c r="M23" i="239"/>
  <c r="M22" i="239"/>
  <c r="M21" i="239"/>
  <c r="M20" i="239"/>
  <c r="M19" i="239"/>
  <c r="M18" i="239"/>
  <c r="M15" i="239"/>
  <c r="M14" i="239"/>
  <c r="M13" i="239"/>
  <c r="M12" i="239"/>
  <c r="M11" i="239"/>
  <c r="M10" i="239"/>
  <c r="M9" i="239"/>
  <c r="M8" i="239"/>
  <c r="M32" i="244"/>
  <c r="L32" i="244"/>
  <c r="K32" i="244"/>
  <c r="K24" i="244"/>
  <c r="J24" i="244"/>
  <c r="E24" i="244"/>
  <c r="D24" i="244"/>
  <c r="B24" i="244"/>
  <c r="M23" i="244"/>
  <c r="L23" i="244"/>
  <c r="M22" i="244"/>
  <c r="F22" i="244"/>
  <c r="L21" i="244"/>
  <c r="M21" i="244" s="1"/>
  <c r="L20" i="244"/>
  <c r="H20" i="244"/>
  <c r="H24" i="244" s="1"/>
  <c r="G20" i="244"/>
  <c r="C20" i="244"/>
  <c r="M20" i="244" s="1"/>
  <c r="L19" i="244"/>
  <c r="I19" i="244"/>
  <c r="I24" i="244" s="1"/>
  <c r="G19" i="244"/>
  <c r="C19" i="244"/>
  <c r="C24" i="244" s="1"/>
  <c r="M24" i="244" s="1"/>
  <c r="M18" i="244"/>
  <c r="L18" i="244"/>
  <c r="L24" i="244" s="1"/>
  <c r="G18" i="244"/>
  <c r="G24" i="244" s="1"/>
  <c r="F18" i="244"/>
  <c r="K15" i="244"/>
  <c r="J15" i="244"/>
  <c r="I15" i="244"/>
  <c r="H15" i="244"/>
  <c r="G15" i="244"/>
  <c r="F15" i="244"/>
  <c r="E15" i="244"/>
  <c r="D15" i="244"/>
  <c r="C15" i="244"/>
  <c r="M14" i="244"/>
  <c r="L14" i="244"/>
  <c r="M13" i="244"/>
  <c r="L13" i="244"/>
  <c r="M12" i="244"/>
  <c r="L12" i="244"/>
  <c r="M11" i="244"/>
  <c r="L11" i="244"/>
  <c r="M10" i="244"/>
  <c r="L10" i="244"/>
  <c r="B10" i="244"/>
  <c r="B15" i="244" s="1"/>
  <c r="M9" i="244"/>
  <c r="L9" i="244"/>
  <c r="M8" i="244"/>
  <c r="L8" i="244"/>
  <c r="L15" i="244" s="1"/>
  <c r="K6" i="244"/>
  <c r="J6" i="244"/>
  <c r="F24" i="244" l="1"/>
  <c r="M15" i="244"/>
  <c r="M19" i="244"/>
  <c r="F20" i="244"/>
  <c r="M32" i="243" l="1"/>
  <c r="L32" i="243"/>
  <c r="K32" i="243"/>
  <c r="K24" i="243"/>
  <c r="J24" i="243"/>
  <c r="I24" i="243"/>
  <c r="H24" i="243"/>
  <c r="G24" i="243"/>
  <c r="F24" i="243"/>
  <c r="E24" i="243"/>
  <c r="D24" i="243"/>
  <c r="C24" i="243"/>
  <c r="B24" i="243"/>
  <c r="M23" i="243"/>
  <c r="L23" i="243"/>
  <c r="L24" i="243" s="1"/>
  <c r="M22" i="243"/>
  <c r="M21" i="243"/>
  <c r="M20" i="243"/>
  <c r="M19" i="243"/>
  <c r="M18" i="243"/>
  <c r="K15" i="243"/>
  <c r="J15" i="243"/>
  <c r="I15" i="243"/>
  <c r="H15" i="243"/>
  <c r="G15" i="243"/>
  <c r="F15" i="243"/>
  <c r="E15" i="243"/>
  <c r="D15" i="243"/>
  <c r="C15" i="243"/>
  <c r="M15" i="243" s="1"/>
  <c r="B15" i="243"/>
  <c r="M14" i="243"/>
  <c r="L14" i="243"/>
  <c r="M13" i="243"/>
  <c r="L13" i="243"/>
  <c r="M12" i="243"/>
  <c r="L12" i="243"/>
  <c r="M11" i="243"/>
  <c r="L11" i="243"/>
  <c r="M10" i="243"/>
  <c r="L10" i="243"/>
  <c r="M9" i="243"/>
  <c r="L9" i="243"/>
  <c r="M8" i="243"/>
  <c r="L8" i="243"/>
  <c r="L15" i="243" s="1"/>
  <c r="K6" i="243"/>
  <c r="J6" i="243"/>
  <c r="M32" i="242"/>
  <c r="L32" i="242"/>
  <c r="K32" i="242"/>
  <c r="K24" i="242"/>
  <c r="J24" i="242"/>
  <c r="I24" i="242"/>
  <c r="H24" i="242"/>
  <c r="G24" i="242"/>
  <c r="F24" i="242"/>
  <c r="E24" i="242"/>
  <c r="D24" i="242"/>
  <c r="C24" i="242"/>
  <c r="B24" i="242"/>
  <c r="L23" i="242"/>
  <c r="L22" i="242"/>
  <c r="L24" i="242" s="1"/>
  <c r="K15" i="242"/>
  <c r="J15" i="242"/>
  <c r="I15" i="242"/>
  <c r="H15" i="242"/>
  <c r="G15" i="242"/>
  <c r="F15" i="242"/>
  <c r="E15" i="242"/>
  <c r="D15" i="242"/>
  <c r="C15" i="242"/>
  <c r="B15" i="242"/>
  <c r="L14" i="242"/>
  <c r="L13" i="242"/>
  <c r="L12" i="242"/>
  <c r="L10" i="242"/>
  <c r="L9" i="242"/>
  <c r="L8" i="242"/>
  <c r="L15" i="242" s="1"/>
  <c r="K6" i="242"/>
  <c r="J6" i="242"/>
  <c r="M32" i="241"/>
  <c r="L32" i="241"/>
  <c r="K32" i="241"/>
  <c r="K24" i="241"/>
  <c r="J24" i="241"/>
  <c r="I24" i="241"/>
  <c r="H24" i="241"/>
  <c r="G24" i="241"/>
  <c r="F24" i="241"/>
  <c r="E24" i="241"/>
  <c r="D24" i="241"/>
  <c r="C24" i="241"/>
  <c r="B24" i="241"/>
  <c r="L23" i="241"/>
  <c r="L22" i="241"/>
  <c r="L18" i="241"/>
  <c r="L24" i="241" s="1"/>
  <c r="K15" i="241"/>
  <c r="J15" i="241"/>
  <c r="I15" i="241"/>
  <c r="H15" i="241"/>
  <c r="G15" i="241"/>
  <c r="F15" i="241"/>
  <c r="E15" i="241"/>
  <c r="D15" i="241"/>
  <c r="C15" i="241"/>
  <c r="B15" i="241"/>
  <c r="L14" i="241"/>
  <c r="L13" i="241"/>
  <c r="L12" i="241"/>
  <c r="L9" i="241"/>
  <c r="L8" i="241"/>
  <c r="L15" i="241" s="1"/>
  <c r="K6" i="241"/>
  <c r="J6" i="241"/>
  <c r="M32" i="240"/>
  <c r="L32" i="240"/>
  <c r="K32" i="240"/>
  <c r="K24" i="240"/>
  <c r="J24" i="240"/>
  <c r="I24" i="240"/>
  <c r="H24" i="240"/>
  <c r="G24" i="240"/>
  <c r="F24" i="240"/>
  <c r="E24" i="240"/>
  <c r="D24" i="240"/>
  <c r="C24" i="240"/>
  <c r="B24" i="240"/>
  <c r="L23" i="240"/>
  <c r="L22" i="240"/>
  <c r="L24" i="240" s="1"/>
  <c r="K15" i="240"/>
  <c r="J15" i="240"/>
  <c r="I15" i="240"/>
  <c r="H15" i="240"/>
  <c r="G15" i="240"/>
  <c r="F15" i="240"/>
  <c r="E15" i="240"/>
  <c r="D15" i="240"/>
  <c r="C15" i="240"/>
  <c r="B15" i="240"/>
  <c r="L14" i="240"/>
  <c r="L13" i="240"/>
  <c r="L12" i="240"/>
  <c r="L10" i="240"/>
  <c r="L9" i="240"/>
  <c r="L8" i="240"/>
  <c r="L15" i="240" s="1"/>
  <c r="K6" i="240"/>
  <c r="J6" i="240"/>
  <c r="M32" i="239"/>
  <c r="L32" i="239"/>
  <c r="K32" i="239"/>
  <c r="K24" i="239"/>
  <c r="J24" i="239"/>
  <c r="I24" i="239"/>
  <c r="H24" i="239"/>
  <c r="G24" i="239"/>
  <c r="F24" i="239"/>
  <c r="E24" i="239"/>
  <c r="D24" i="239"/>
  <c r="C24" i="239"/>
  <c r="B24" i="239"/>
  <c r="L23" i="239"/>
  <c r="L22" i="239"/>
  <c r="L18" i="239"/>
  <c r="L24" i="239" s="1"/>
  <c r="K15" i="239"/>
  <c r="J15" i="239"/>
  <c r="I15" i="239"/>
  <c r="H15" i="239"/>
  <c r="G15" i="239"/>
  <c r="F15" i="239"/>
  <c r="E15" i="239"/>
  <c r="D15" i="239"/>
  <c r="C15" i="239"/>
  <c r="B15" i="239"/>
  <c r="L14" i="239"/>
  <c r="L13" i="239"/>
  <c r="L12" i="239"/>
  <c r="L9" i="239"/>
  <c r="L8" i="239"/>
  <c r="L15" i="239" s="1"/>
  <c r="K6" i="239"/>
  <c r="J6" i="239"/>
  <c r="M24" i="243" l="1"/>
  <c r="D18" i="207" l="1"/>
  <c r="D13" i="207"/>
  <c r="D10" i="207" l="1"/>
  <c r="D17" i="207" l="1"/>
  <c r="D110" i="172"/>
  <c r="D122" i="172"/>
  <c r="D125" i="172"/>
  <c r="D126" i="172"/>
  <c r="D130" i="172"/>
  <c r="D135" i="172"/>
  <c r="D140" i="172"/>
  <c r="D93" i="172"/>
  <c r="E93" i="172"/>
  <c r="E110" i="172"/>
  <c r="E122" i="172"/>
  <c r="E126" i="172"/>
  <c r="E130" i="172"/>
  <c r="E135" i="172"/>
  <c r="E140" i="172"/>
  <c r="E87" i="172"/>
  <c r="E86" i="172"/>
  <c r="E85" i="172"/>
  <c r="E84" i="172"/>
  <c r="E83" i="172"/>
  <c r="E82" i="172"/>
  <c r="E81" i="172"/>
  <c r="E80" i="172"/>
  <c r="E79" i="172"/>
  <c r="E78" i="172"/>
  <c r="E77" i="172"/>
  <c r="E76" i="172"/>
  <c r="E75" i="172"/>
  <c r="E74" i="172"/>
  <c r="E73" i="172"/>
  <c r="E72" i="172"/>
  <c r="E71" i="172"/>
  <c r="E70" i="172"/>
  <c r="E69" i="172"/>
  <c r="E68" i="172"/>
  <c r="E67" i="172"/>
  <c r="E66" i="172"/>
  <c r="E65" i="172"/>
  <c r="E64" i="172"/>
  <c r="E63" i="172"/>
  <c r="E62" i="172"/>
  <c r="E61" i="172"/>
  <c r="E60" i="172"/>
  <c r="E59" i="172"/>
  <c r="E58" i="172"/>
  <c r="E57" i="172"/>
  <c r="E56" i="172"/>
  <c r="E55" i="172"/>
  <c r="E54" i="172"/>
  <c r="E53" i="172"/>
  <c r="E52" i="172"/>
  <c r="E51" i="172"/>
  <c r="E50" i="172"/>
  <c r="E49" i="172"/>
  <c r="E48" i="172"/>
  <c r="E47" i="172"/>
  <c r="E46" i="172"/>
  <c r="E45" i="172"/>
  <c r="E44" i="172"/>
  <c r="E43" i="172"/>
  <c r="E42" i="172"/>
  <c r="E41" i="172"/>
  <c r="E40" i="172"/>
  <c r="E39" i="172"/>
  <c r="E38" i="172"/>
  <c r="E37" i="172"/>
  <c r="E36" i="172"/>
  <c r="E35" i="172"/>
  <c r="E34" i="172"/>
  <c r="E33" i="172"/>
  <c r="E32" i="172"/>
  <c r="E31" i="172"/>
  <c r="E30" i="172"/>
  <c r="E29" i="172"/>
  <c r="E28" i="172"/>
  <c r="E27" i="172"/>
  <c r="E26" i="172"/>
  <c r="E25" i="172"/>
  <c r="E24" i="172"/>
  <c r="E23" i="172"/>
  <c r="E22" i="172"/>
  <c r="E21" i="172"/>
  <c r="E20" i="172"/>
  <c r="E19" i="172"/>
  <c r="E18" i="172"/>
  <c r="E17" i="172"/>
  <c r="E16" i="172"/>
  <c r="E15" i="172"/>
  <c r="E14" i="172"/>
  <c r="E13" i="172"/>
  <c r="E12" i="172"/>
  <c r="E11" i="172"/>
  <c r="E10" i="172"/>
  <c r="E9" i="172"/>
  <c r="E8" i="172"/>
  <c r="E7" i="172"/>
  <c r="E6" i="172"/>
  <c r="D87" i="172"/>
  <c r="D86" i="172"/>
  <c r="D85" i="172"/>
  <c r="D84" i="172"/>
  <c r="D83" i="172"/>
  <c r="D82" i="172"/>
  <c r="D81" i="172"/>
  <c r="D80" i="172"/>
  <c r="D79" i="172"/>
  <c r="D78" i="172"/>
  <c r="D77" i="172"/>
  <c r="D76" i="172"/>
  <c r="D75" i="172"/>
  <c r="D74" i="172"/>
  <c r="D73" i="172"/>
  <c r="D72" i="172"/>
  <c r="D71" i="172"/>
  <c r="D70" i="172"/>
  <c r="D69" i="172"/>
  <c r="D68" i="172"/>
  <c r="D67" i="172"/>
  <c r="D66" i="172"/>
  <c r="D65" i="172"/>
  <c r="D64" i="172"/>
  <c r="D63" i="172"/>
  <c r="D62" i="172"/>
  <c r="D61" i="172"/>
  <c r="D60" i="172"/>
  <c r="D59" i="172"/>
  <c r="D58" i="172"/>
  <c r="D57" i="172"/>
  <c r="D56" i="172"/>
  <c r="D55" i="172"/>
  <c r="D54" i="172"/>
  <c r="D53" i="172"/>
  <c r="D52" i="172"/>
  <c r="D51" i="172"/>
  <c r="D50" i="172"/>
  <c r="D49" i="172"/>
  <c r="D48" i="172"/>
  <c r="D47" i="172"/>
  <c r="D46" i="172"/>
  <c r="D45" i="172"/>
  <c r="D44" i="172"/>
  <c r="D43" i="172"/>
  <c r="D42" i="172"/>
  <c r="D41" i="172"/>
  <c r="D40" i="172"/>
  <c r="D39" i="172"/>
  <c r="D38" i="172"/>
  <c r="D37" i="172"/>
  <c r="D36" i="172"/>
  <c r="D35" i="172"/>
  <c r="D34" i="172"/>
  <c r="D33" i="172"/>
  <c r="D32" i="172"/>
  <c r="D31" i="172"/>
  <c r="D30" i="172"/>
  <c r="D29" i="172"/>
  <c r="D28" i="172"/>
  <c r="D27" i="172"/>
  <c r="D26" i="172"/>
  <c r="D25" i="172"/>
  <c r="D24" i="172"/>
  <c r="D23" i="172"/>
  <c r="D22" i="172"/>
  <c r="D21" i="172"/>
  <c r="D20" i="172"/>
  <c r="D19" i="172"/>
  <c r="D18" i="172"/>
  <c r="D17" i="172"/>
  <c r="D16" i="172"/>
  <c r="D15" i="172"/>
  <c r="D14" i="172"/>
  <c r="D13" i="172"/>
  <c r="D12" i="172"/>
  <c r="D11" i="172"/>
  <c r="D10" i="172"/>
  <c r="D9" i="172"/>
  <c r="D8" i="172"/>
  <c r="D7" i="172"/>
  <c r="D6" i="172"/>
  <c r="E145" i="172" l="1"/>
  <c r="E125" i="172"/>
  <c r="D145" i="172"/>
  <c r="D146" i="172" s="1"/>
  <c r="E146" i="172"/>
  <c r="C93" i="172"/>
  <c r="C110" i="172"/>
  <c r="D10" i="204" l="1"/>
  <c r="D9" i="204"/>
  <c r="E10" i="204"/>
  <c r="C12" i="228" l="1"/>
  <c r="I12" i="228" l="1"/>
  <c r="H12" i="228"/>
  <c r="E9" i="208" l="1"/>
  <c r="F9" i="208" s="1"/>
  <c r="E8" i="208"/>
  <c r="F8" i="208" s="1"/>
  <c r="E7" i="208"/>
  <c r="F7" i="208" s="1"/>
  <c r="E6" i="208"/>
  <c r="F6" i="208" s="1"/>
  <c r="E5" i="208"/>
  <c r="F5" i="208" s="1"/>
  <c r="E50" i="236"/>
  <c r="D50" i="236"/>
  <c r="C50" i="236"/>
  <c r="E44" i="236"/>
  <c r="E55" i="236" s="1"/>
  <c r="D44" i="236"/>
  <c r="D55" i="236" s="1"/>
  <c r="C44" i="236"/>
  <c r="C55" i="236" s="1"/>
  <c r="E36" i="236"/>
  <c r="D36" i="236"/>
  <c r="C36" i="236"/>
  <c r="E29" i="236"/>
  <c r="D29" i="236"/>
  <c r="C29" i="236"/>
  <c r="E25" i="236"/>
  <c r="D25" i="236"/>
  <c r="C25" i="236"/>
  <c r="E19" i="236"/>
  <c r="D19" i="236"/>
  <c r="C19" i="236"/>
  <c r="E8" i="236"/>
  <c r="E35" i="236" s="1"/>
  <c r="E40" i="236" s="1"/>
  <c r="D8" i="236"/>
  <c r="D35" i="236" s="1"/>
  <c r="D40" i="236" s="1"/>
  <c r="C8" i="236"/>
  <c r="C35" i="236" s="1"/>
  <c r="C40" i="236" s="1"/>
  <c r="E61" i="235"/>
  <c r="E59" i="235"/>
  <c r="E50" i="235"/>
  <c r="D50" i="235"/>
  <c r="C50" i="235"/>
  <c r="E44" i="235"/>
  <c r="E55" i="235" s="1"/>
  <c r="D44" i="235"/>
  <c r="D55" i="235" s="1"/>
  <c r="C44" i="235"/>
  <c r="C55" i="235" s="1"/>
  <c r="E36" i="235"/>
  <c r="D36" i="235"/>
  <c r="C36" i="235"/>
  <c r="E29" i="235"/>
  <c r="D29" i="235"/>
  <c r="C29" i="235"/>
  <c r="E25" i="235"/>
  <c r="D25" i="235"/>
  <c r="C25" i="235"/>
  <c r="E19" i="235"/>
  <c r="D19" i="235"/>
  <c r="C19" i="235"/>
  <c r="E8" i="235"/>
  <c r="E35" i="235" s="1"/>
  <c r="E40" i="235" s="1"/>
  <c r="D8" i="235"/>
  <c r="D35" i="235" s="1"/>
  <c r="D40" i="235" s="1"/>
  <c r="C8" i="235"/>
  <c r="C35" i="235" s="1"/>
  <c r="C40" i="235" s="1"/>
  <c r="E50" i="234"/>
  <c r="D50" i="234"/>
  <c r="C50" i="234"/>
  <c r="E44" i="234"/>
  <c r="E55" i="234" s="1"/>
  <c r="D44" i="234"/>
  <c r="D55" i="234" s="1"/>
  <c r="C44" i="234"/>
  <c r="C55" i="234" s="1"/>
  <c r="E36" i="234"/>
  <c r="D36" i="234"/>
  <c r="C36" i="234"/>
  <c r="E29" i="234"/>
  <c r="D29" i="234"/>
  <c r="C29" i="234"/>
  <c r="E25" i="234"/>
  <c r="D25" i="234"/>
  <c r="C25" i="234"/>
  <c r="E19" i="234"/>
  <c r="D19" i="234"/>
  <c r="C19" i="234"/>
  <c r="E8" i="234"/>
  <c r="E35" i="234" s="1"/>
  <c r="E40" i="234" s="1"/>
  <c r="D8" i="234"/>
  <c r="D35" i="234" s="1"/>
  <c r="D40" i="234" s="1"/>
  <c r="C8" i="234"/>
  <c r="C35" i="234" s="1"/>
  <c r="C40" i="234" s="1"/>
  <c r="E50" i="233"/>
  <c r="D50" i="233"/>
  <c r="C50" i="233"/>
  <c r="E44" i="233"/>
  <c r="E55" i="233" s="1"/>
  <c r="D44" i="233"/>
  <c r="D55" i="233" s="1"/>
  <c r="C44" i="233"/>
  <c r="C55" i="233" s="1"/>
  <c r="E36" i="233"/>
  <c r="D36" i="233"/>
  <c r="C36" i="233"/>
  <c r="E29" i="233"/>
  <c r="D29" i="233"/>
  <c r="C29" i="233"/>
  <c r="E25" i="233"/>
  <c r="D25" i="233"/>
  <c r="C25" i="233"/>
  <c r="E19" i="233"/>
  <c r="D19" i="233"/>
  <c r="C19" i="233"/>
  <c r="E8" i="233"/>
  <c r="E35" i="233" s="1"/>
  <c r="E40" i="233" s="1"/>
  <c r="D8" i="233"/>
  <c r="D35" i="233" s="1"/>
  <c r="D40" i="233" s="1"/>
  <c r="C8" i="233"/>
  <c r="C35" i="233" s="1"/>
  <c r="C40" i="233" s="1"/>
  <c r="E50" i="232"/>
  <c r="D50" i="232"/>
  <c r="C50" i="232"/>
  <c r="E44" i="232"/>
  <c r="E55" i="232" s="1"/>
  <c r="D44" i="232"/>
  <c r="D55" i="232" s="1"/>
  <c r="C44" i="232"/>
  <c r="C55" i="232" s="1"/>
  <c r="E36" i="232"/>
  <c r="D36" i="232"/>
  <c r="C36" i="232"/>
  <c r="E29" i="232"/>
  <c r="D29" i="232"/>
  <c r="C29" i="232"/>
  <c r="E25" i="232"/>
  <c r="D25" i="232"/>
  <c r="C25" i="232"/>
  <c r="E19" i="232"/>
  <c r="D19" i="232"/>
  <c r="C19" i="232"/>
  <c r="E8" i="232"/>
  <c r="E35" i="232" s="1"/>
  <c r="E40" i="232" s="1"/>
  <c r="D8" i="232"/>
  <c r="D35" i="232" s="1"/>
  <c r="D40" i="232" s="1"/>
  <c r="C8" i="232"/>
  <c r="C35" i="232" s="1"/>
  <c r="C40" i="232" s="1"/>
  <c r="G16" i="123"/>
  <c r="E16" i="123"/>
  <c r="B16" i="123"/>
  <c r="E82" i="231" l="1"/>
  <c r="D82" i="231"/>
  <c r="F81" i="231"/>
  <c r="F80" i="231"/>
  <c r="F79" i="231"/>
  <c r="F78" i="231"/>
  <c r="F77" i="231"/>
  <c r="F76" i="231"/>
  <c r="F75" i="231"/>
  <c r="F82" i="231" s="1"/>
  <c r="F74" i="231"/>
  <c r="D73" i="231"/>
  <c r="F72" i="231"/>
  <c r="F71" i="231"/>
  <c r="F70" i="231"/>
  <c r="E69" i="231"/>
  <c r="F69" i="231" s="1"/>
  <c r="F68" i="231"/>
  <c r="F67" i="231"/>
  <c r="F66" i="231"/>
  <c r="F65" i="231"/>
  <c r="E64" i="231"/>
  <c r="F64" i="231" s="1"/>
  <c r="F63" i="231"/>
  <c r="F62" i="231"/>
  <c r="F61" i="231"/>
  <c r="F60" i="231"/>
  <c r="F59" i="231"/>
  <c r="E58" i="231"/>
  <c r="E73" i="231" s="1"/>
  <c r="F57" i="231"/>
  <c r="F56" i="231"/>
  <c r="F55" i="231"/>
  <c r="F53" i="231"/>
  <c r="F52" i="231"/>
  <c r="F51" i="231"/>
  <c r="F50" i="231"/>
  <c r="F49" i="231"/>
  <c r="F48" i="231"/>
  <c r="F47" i="231"/>
  <c r="F46" i="231"/>
  <c r="F45" i="231"/>
  <c r="E42" i="231"/>
  <c r="D42" i="231"/>
  <c r="F41" i="231"/>
  <c r="F40" i="231"/>
  <c r="F39" i="231"/>
  <c r="F38" i="231"/>
  <c r="F37" i="231"/>
  <c r="F36" i="231"/>
  <c r="F35" i="231"/>
  <c r="F34" i="231"/>
  <c r="F33" i="231"/>
  <c r="F32" i="231"/>
  <c r="F31" i="231"/>
  <c r="F30" i="231"/>
  <c r="F29" i="231"/>
  <c r="F28" i="231"/>
  <c r="F27" i="231"/>
  <c r="F26" i="231"/>
  <c r="F42" i="231" s="1"/>
  <c r="E24" i="231"/>
  <c r="D24" i="231"/>
  <c r="F23" i="231"/>
  <c r="F22" i="231"/>
  <c r="F21" i="231"/>
  <c r="F20" i="231"/>
  <c r="F19" i="231"/>
  <c r="F18" i="231"/>
  <c r="F24" i="231" s="1"/>
  <c r="E16" i="231"/>
  <c r="E83" i="231" s="1"/>
  <c r="D16" i="231"/>
  <c r="D83" i="231" s="1"/>
  <c r="F15" i="231"/>
  <c r="F14" i="231"/>
  <c r="F13" i="231"/>
  <c r="F12" i="231"/>
  <c r="F11" i="231"/>
  <c r="F10" i="231"/>
  <c r="F9" i="231"/>
  <c r="F8" i="231"/>
  <c r="F7" i="231"/>
  <c r="F6" i="231"/>
  <c r="F16" i="231" s="1"/>
  <c r="F58" i="231" l="1"/>
  <c r="F73" i="231" s="1"/>
  <c r="F83" i="231" s="1"/>
  <c r="J28" i="230"/>
  <c r="I27" i="230"/>
  <c r="H27" i="230"/>
  <c r="G27" i="230"/>
  <c r="F27" i="230"/>
  <c r="J27" i="230" s="1"/>
  <c r="E27" i="230"/>
  <c r="D27" i="230"/>
  <c r="J26" i="230"/>
  <c r="I25" i="230"/>
  <c r="H25" i="230"/>
  <c r="G25" i="230"/>
  <c r="F25" i="230"/>
  <c r="J25" i="230" s="1"/>
  <c r="E25" i="230"/>
  <c r="D25" i="230"/>
  <c r="J22" i="230"/>
  <c r="J21" i="230"/>
  <c r="J20" i="230"/>
  <c r="J19" i="230"/>
  <c r="J18" i="230"/>
  <c r="J17" i="230"/>
  <c r="J16" i="230"/>
  <c r="J15" i="230"/>
  <c r="J14" i="230"/>
  <c r="J13" i="230"/>
  <c r="J12" i="230"/>
  <c r="J11" i="230"/>
  <c r="J10" i="230"/>
  <c r="J9" i="230"/>
  <c r="J8" i="230"/>
  <c r="J7" i="230"/>
  <c r="I7" i="230"/>
  <c r="I29" i="230" s="1"/>
  <c r="H7" i="230"/>
  <c r="H29" i="230" s="1"/>
  <c r="G7" i="230"/>
  <c r="G29" i="230" s="1"/>
  <c r="F7" i="230"/>
  <c r="F29" i="230" s="1"/>
  <c r="E7" i="230"/>
  <c r="E29" i="230" s="1"/>
  <c r="D7" i="230"/>
  <c r="D29" i="230" s="1"/>
  <c r="J6" i="230"/>
  <c r="E9" i="204"/>
  <c r="E11" i="204"/>
  <c r="J29" i="230" l="1"/>
  <c r="E29" i="125"/>
  <c r="E30" i="125"/>
  <c r="E8" i="125" l="1"/>
  <c r="E15" i="125"/>
  <c r="E22" i="125"/>
  <c r="E37" i="125"/>
  <c r="E49" i="125"/>
  <c r="E55" i="125"/>
  <c r="E60" i="125"/>
  <c r="E66" i="125"/>
  <c r="E70" i="125"/>
  <c r="E75" i="125"/>
  <c r="E78" i="125"/>
  <c r="E82" i="125"/>
  <c r="E88" i="125" l="1"/>
  <c r="E65" i="125"/>
  <c r="C8" i="125"/>
  <c r="C15" i="125"/>
  <c r="C22" i="125"/>
  <c r="C29" i="125"/>
  <c r="C37" i="125"/>
  <c r="C49" i="125"/>
  <c r="C55" i="125"/>
  <c r="C60" i="125"/>
  <c r="C66" i="125"/>
  <c r="C70" i="125"/>
  <c r="C75" i="125"/>
  <c r="C78" i="125"/>
  <c r="C82" i="125"/>
  <c r="E89" i="125" l="1"/>
  <c r="C88" i="125"/>
  <c r="C65" i="125"/>
  <c r="C89" i="125" s="1"/>
  <c r="F11" i="123" l="1"/>
  <c r="F12" i="123"/>
  <c r="F7" i="123"/>
  <c r="F10" i="123"/>
  <c r="F5" i="123"/>
  <c r="F14" i="123"/>
  <c r="F15" i="123"/>
  <c r="F9" i="123"/>
  <c r="F6" i="123"/>
  <c r="B13" i="123" l="1"/>
  <c r="B12" i="123"/>
  <c r="B11" i="123"/>
  <c r="B10" i="123"/>
  <c r="B9" i="123"/>
  <c r="B7" i="123"/>
  <c r="B5" i="123"/>
  <c r="E13" i="123"/>
  <c r="E12" i="123"/>
  <c r="E11" i="123"/>
  <c r="E10" i="123"/>
  <c r="E9" i="123"/>
  <c r="E7" i="123"/>
  <c r="E5" i="123"/>
  <c r="F31" i="122" l="1"/>
  <c r="F30" i="122"/>
  <c r="F19" i="122" l="1"/>
  <c r="F16" i="122"/>
  <c r="F15" i="122"/>
  <c r="F21" i="122"/>
  <c r="F7" i="122"/>
  <c r="F25" i="122"/>
  <c r="F23" i="122"/>
  <c r="F6" i="122" l="1"/>
  <c r="G21" i="122"/>
  <c r="F11" i="122"/>
  <c r="F9" i="122"/>
  <c r="G9" i="122" s="1"/>
  <c r="F8" i="122"/>
  <c r="G8" i="122" s="1"/>
  <c r="G6" i="122"/>
  <c r="G7" i="122"/>
  <c r="G10" i="122"/>
  <c r="G11" i="122"/>
  <c r="G12" i="122"/>
  <c r="G13" i="122"/>
  <c r="G14" i="122"/>
  <c r="G15" i="122"/>
  <c r="G16" i="122"/>
  <c r="G17" i="122"/>
  <c r="G18" i="122"/>
  <c r="G19" i="122"/>
  <c r="G20" i="122"/>
  <c r="G22" i="122"/>
  <c r="G23" i="122"/>
  <c r="G24" i="122"/>
  <c r="G25" i="122"/>
  <c r="G26" i="122"/>
  <c r="G27" i="122"/>
  <c r="G28" i="122"/>
  <c r="G29" i="122"/>
  <c r="G30" i="122"/>
  <c r="G31" i="122"/>
  <c r="G32" i="122"/>
  <c r="G33" i="122"/>
  <c r="G5" i="122"/>
  <c r="D21" i="122"/>
  <c r="H27" i="120" l="1"/>
  <c r="I27" i="120"/>
  <c r="G27" i="120"/>
  <c r="H9" i="120"/>
  <c r="I9" i="120"/>
  <c r="G9" i="120"/>
  <c r="H8" i="120"/>
  <c r="I8" i="120"/>
  <c r="H7" i="120"/>
  <c r="I7" i="120"/>
  <c r="G7" i="120"/>
  <c r="G8" i="120"/>
  <c r="H6" i="120"/>
  <c r="I6" i="120"/>
  <c r="G6" i="120"/>
  <c r="H21" i="121"/>
  <c r="I21" i="121"/>
  <c r="G21" i="121"/>
  <c r="H8" i="121"/>
  <c r="I8" i="121"/>
  <c r="G8" i="121"/>
  <c r="H6" i="121"/>
  <c r="I6" i="121"/>
  <c r="G6" i="121"/>
  <c r="D18" i="121"/>
  <c r="E18" i="121"/>
  <c r="C18" i="121"/>
  <c r="D24" i="121"/>
  <c r="C24" i="121"/>
  <c r="D25" i="121"/>
  <c r="E25" i="121"/>
  <c r="E24" i="121" s="1"/>
  <c r="C25" i="121"/>
  <c r="D9" i="121"/>
  <c r="C9" i="121"/>
  <c r="D8" i="121"/>
  <c r="C8" i="121"/>
  <c r="D6" i="121"/>
  <c r="C6" i="121"/>
  <c r="D26" i="120"/>
  <c r="E26" i="120"/>
  <c r="E24" i="120" s="1"/>
  <c r="C26" i="120"/>
  <c r="D25" i="120"/>
  <c r="E25" i="120"/>
  <c r="C25" i="120"/>
  <c r="D20" i="120"/>
  <c r="C20" i="120"/>
  <c r="D19" i="120"/>
  <c r="C19" i="120"/>
  <c r="D11" i="120"/>
  <c r="C11" i="120"/>
  <c r="D10" i="120"/>
  <c r="C10" i="120"/>
  <c r="D9" i="120"/>
  <c r="C9" i="120"/>
  <c r="C24" i="120" l="1"/>
  <c r="D8" i="120"/>
  <c r="E8" i="120"/>
  <c r="C8" i="120"/>
  <c r="D7" i="120"/>
  <c r="C7" i="120"/>
  <c r="D6" i="120"/>
  <c r="C6" i="120"/>
  <c r="E29" i="119"/>
  <c r="C18" i="120" l="1"/>
  <c r="D18" i="120"/>
  <c r="D28" i="119"/>
  <c r="E28" i="119"/>
  <c r="C28" i="119"/>
  <c r="E103" i="119"/>
  <c r="C112" i="119" l="1"/>
  <c r="D115" i="119"/>
  <c r="H10" i="121" s="1"/>
  <c r="H17" i="121" s="1"/>
  <c r="E115" i="119"/>
  <c r="I10" i="121" s="1"/>
  <c r="C115" i="119"/>
  <c r="G10" i="121" s="1"/>
  <c r="G17" i="121" s="1"/>
  <c r="C87" i="119" l="1"/>
  <c r="D46" i="229" l="1"/>
  <c r="E46" i="229"/>
  <c r="C46" i="229"/>
  <c r="D41" i="229"/>
  <c r="E41" i="229"/>
  <c r="C41" i="229"/>
  <c r="E35" i="229"/>
  <c r="D36" i="229"/>
  <c r="E36" i="229"/>
  <c r="C36" i="229"/>
  <c r="C35" i="229" s="1"/>
  <c r="D10" i="229"/>
  <c r="E10" i="229"/>
  <c r="C10" i="229"/>
  <c r="C9" i="229" s="1"/>
  <c r="D15" i="229"/>
  <c r="E15" i="229"/>
  <c r="C15" i="229"/>
  <c r="D20" i="229"/>
  <c r="E20" i="229"/>
  <c r="C20" i="229"/>
  <c r="D25" i="229"/>
  <c r="E25" i="229"/>
  <c r="C25" i="229"/>
  <c r="E9" i="229"/>
  <c r="E52" i="229" s="1"/>
  <c r="C30" i="229"/>
  <c r="D30" i="229"/>
  <c r="D55" i="229"/>
  <c r="C60" i="229"/>
  <c r="D60" i="229"/>
  <c r="C64" i="229"/>
  <c r="D64" i="229"/>
  <c r="C68" i="229"/>
  <c r="D68" i="229"/>
  <c r="I13" i="228"/>
  <c r="C99" i="119"/>
  <c r="G10" i="120" s="1"/>
  <c r="D99" i="119"/>
  <c r="H10" i="120" s="1"/>
  <c r="E99" i="119"/>
  <c r="I10" i="120" s="1"/>
  <c r="E76" i="119"/>
  <c r="C52" i="229" l="1"/>
  <c r="D9" i="229"/>
  <c r="C70" i="229"/>
  <c r="D35" i="229"/>
  <c r="D11" i="199"/>
  <c r="C20" i="199"/>
  <c r="E68" i="229"/>
  <c r="E64" i="229"/>
  <c r="E60" i="229"/>
  <c r="E55" i="229"/>
  <c r="E30" i="229"/>
  <c r="E70" i="229"/>
  <c r="D52" i="229" l="1"/>
  <c r="D70" i="229" s="1"/>
  <c r="H18" i="228"/>
  <c r="G18" i="228"/>
  <c r="F18" i="228"/>
  <c r="E18" i="228"/>
  <c r="D18" i="228"/>
  <c r="C18" i="228"/>
  <c r="I17" i="228"/>
  <c r="H17" i="228"/>
  <c r="I16" i="228"/>
  <c r="I18" i="228" s="1"/>
  <c r="H16" i="228"/>
  <c r="G14" i="228"/>
  <c r="G19" i="228" s="1"/>
  <c r="F14" i="228"/>
  <c r="F19" i="228" s="1"/>
  <c r="E14" i="228"/>
  <c r="E19" i="228" s="1"/>
  <c r="D14" i="228"/>
  <c r="D19" i="228" s="1"/>
  <c r="C14" i="228"/>
  <c r="C19" i="228" s="1"/>
  <c r="H11" i="228"/>
  <c r="I11" i="228" s="1"/>
  <c r="H10" i="228"/>
  <c r="I10" i="228" s="1"/>
  <c r="H9" i="228"/>
  <c r="I9" i="228" s="1"/>
  <c r="H8" i="228"/>
  <c r="I8" i="228" s="1"/>
  <c r="H7" i="228"/>
  <c r="H14" i="228" s="1"/>
  <c r="H19" i="228" s="1"/>
  <c r="I7" i="228" l="1"/>
  <c r="I14" i="228" s="1"/>
  <c r="I19" i="228" s="1"/>
  <c r="G8" i="123" l="1"/>
  <c r="G11" i="123"/>
  <c r="G6" i="123"/>
  <c r="G14" i="123"/>
  <c r="E17" i="123"/>
  <c r="D17" i="123"/>
  <c r="B17" i="123"/>
  <c r="G15" i="123"/>
  <c r="G12" i="123"/>
  <c r="G13" i="123"/>
  <c r="G7" i="123"/>
  <c r="G9" i="123"/>
  <c r="G10" i="123"/>
  <c r="F17" i="123" l="1"/>
  <c r="F11" i="208" l="1"/>
  <c r="E10" i="208"/>
  <c r="F10" i="208" s="1"/>
  <c r="E11" i="208"/>
  <c r="E12" i="208"/>
  <c r="F12" i="208" s="1"/>
  <c r="E13" i="208"/>
  <c r="E14" i="208"/>
  <c r="E15" i="208"/>
  <c r="E16" i="208"/>
  <c r="E17" i="208"/>
  <c r="E18" i="208"/>
  <c r="E19" i="208"/>
  <c r="E20" i="208"/>
  <c r="E21" i="208"/>
  <c r="E22" i="208"/>
  <c r="E23" i="208"/>
  <c r="E24" i="208"/>
  <c r="E25" i="208"/>
  <c r="E26" i="208"/>
  <c r="E27" i="208"/>
  <c r="E28" i="208"/>
  <c r="E29" i="208"/>
  <c r="E31" i="208"/>
  <c r="E32" i="208"/>
  <c r="E33" i="208"/>
  <c r="E34" i="208"/>
  <c r="E35" i="208"/>
  <c r="C36" i="208"/>
  <c r="D36" i="208"/>
  <c r="G36" i="208"/>
  <c r="E36" i="208" l="1"/>
  <c r="F36" i="208"/>
  <c r="E112" i="119" l="1"/>
  <c r="D112" i="119" l="1"/>
  <c r="C27" i="172"/>
  <c r="D33" i="207"/>
  <c r="C8" i="126" l="1"/>
  <c r="C19" i="126"/>
  <c r="C25" i="126"/>
  <c r="C29" i="126"/>
  <c r="C36" i="126"/>
  <c r="C35" i="126" l="1"/>
  <c r="C40" i="126" s="1"/>
  <c r="E73" i="119" l="1"/>
  <c r="E20" i="120" s="1"/>
  <c r="E19" i="120" s="1"/>
  <c r="E64" i="119"/>
  <c r="E53" i="119"/>
  <c r="E10" i="120" s="1"/>
  <c r="E47" i="119"/>
  <c r="E8" i="121" s="1"/>
  <c r="E35" i="119"/>
  <c r="E11" i="120" s="1"/>
  <c r="E27" i="119"/>
  <c r="E9" i="120" s="1"/>
  <c r="C6" i="172"/>
  <c r="C13" i="204"/>
  <c r="C12" i="204"/>
  <c r="C8" i="204"/>
  <c r="C9" i="204"/>
  <c r="C10" i="204"/>
  <c r="C7" i="204"/>
  <c r="D6" i="204"/>
  <c r="D11" i="204" s="1"/>
  <c r="E6" i="204"/>
  <c r="G11" i="204" s="1"/>
  <c r="E12" i="203"/>
  <c r="D12" i="203"/>
  <c r="C15" i="198"/>
  <c r="C19" i="198"/>
  <c r="C11" i="199"/>
  <c r="D20" i="199"/>
  <c r="D40" i="199" s="1"/>
  <c r="E6" i="119"/>
  <c r="E6" i="120" s="1"/>
  <c r="E5" i="173"/>
  <c r="F5" i="173"/>
  <c r="G5" i="173"/>
  <c r="H5" i="173"/>
  <c r="E12" i="173"/>
  <c r="F12" i="173"/>
  <c r="G12" i="173"/>
  <c r="H12" i="173"/>
  <c r="E19" i="173"/>
  <c r="F19" i="173"/>
  <c r="G19" i="173"/>
  <c r="H19" i="173"/>
  <c r="C13" i="172"/>
  <c r="C20" i="172"/>
  <c r="C35" i="172"/>
  <c r="C47" i="172"/>
  <c r="C53" i="172"/>
  <c r="C58" i="172"/>
  <c r="C64" i="172"/>
  <c r="C68" i="172"/>
  <c r="C73" i="172"/>
  <c r="C86" i="172" s="1"/>
  <c r="C76" i="172"/>
  <c r="C80" i="172"/>
  <c r="C90" i="172"/>
  <c r="D90" i="172"/>
  <c r="C122" i="172"/>
  <c r="C125" i="172" s="1"/>
  <c r="C126" i="172"/>
  <c r="C130" i="172"/>
  <c r="C135" i="172"/>
  <c r="C140" i="172"/>
  <c r="C128" i="119"/>
  <c r="C12" i="146"/>
  <c r="D11" i="143"/>
  <c r="D17" i="143"/>
  <c r="D41" i="143"/>
  <c r="C29" i="138"/>
  <c r="D29" i="138"/>
  <c r="D8" i="126"/>
  <c r="E8" i="126"/>
  <c r="D19" i="126"/>
  <c r="E19" i="126"/>
  <c r="D25" i="126"/>
  <c r="E25" i="126"/>
  <c r="D29" i="126"/>
  <c r="E29" i="126"/>
  <c r="D35" i="126"/>
  <c r="E35" i="126"/>
  <c r="D36" i="126"/>
  <c r="E36" i="126"/>
  <c r="C44" i="126"/>
  <c r="D44" i="126"/>
  <c r="E44" i="126"/>
  <c r="C50" i="126"/>
  <c r="C55" i="126" s="1"/>
  <c r="D50" i="126"/>
  <c r="E50" i="126"/>
  <c r="D55" i="126"/>
  <c r="E55" i="126"/>
  <c r="D8" i="125"/>
  <c r="D15" i="125"/>
  <c r="D22" i="125"/>
  <c r="D37" i="125"/>
  <c r="D49" i="125"/>
  <c r="D55" i="125"/>
  <c r="D60" i="125"/>
  <c r="D66" i="125"/>
  <c r="D70" i="125"/>
  <c r="D75" i="125"/>
  <c r="D78" i="125"/>
  <c r="D82" i="125"/>
  <c r="C93" i="125"/>
  <c r="D93" i="125"/>
  <c r="E93" i="125"/>
  <c r="C110" i="125"/>
  <c r="D110" i="125"/>
  <c r="E110" i="125"/>
  <c r="C122" i="125"/>
  <c r="D122" i="125"/>
  <c r="E122" i="125"/>
  <c r="C126" i="125"/>
  <c r="D126" i="125"/>
  <c r="E126" i="125"/>
  <c r="C130" i="125"/>
  <c r="D130" i="125"/>
  <c r="E130" i="125"/>
  <c r="C135" i="125"/>
  <c r="D135" i="125"/>
  <c r="E135" i="125"/>
  <c r="C141" i="125"/>
  <c r="D141" i="125"/>
  <c r="E141" i="125"/>
  <c r="G5" i="123"/>
  <c r="B34" i="122"/>
  <c r="D34" i="122"/>
  <c r="E34" i="122"/>
  <c r="F34" i="122"/>
  <c r="C17" i="121"/>
  <c r="G32" i="121" s="1"/>
  <c r="D17" i="121"/>
  <c r="H32" i="121"/>
  <c r="C30" i="121"/>
  <c r="D30" i="121"/>
  <c r="E30" i="121"/>
  <c r="G30" i="121"/>
  <c r="H30" i="121"/>
  <c r="I30" i="121"/>
  <c r="G4" i="120"/>
  <c r="H4" i="120"/>
  <c r="I4" i="120"/>
  <c r="G18" i="120"/>
  <c r="H18" i="120"/>
  <c r="D30" i="120" s="1"/>
  <c r="I18" i="120"/>
  <c r="C29" i="120"/>
  <c r="E28" i="120"/>
  <c r="G28" i="120"/>
  <c r="H28" i="120"/>
  <c r="I28" i="120"/>
  <c r="E13" i="119"/>
  <c r="E7" i="120" s="1"/>
  <c r="E20" i="119"/>
  <c r="E6" i="121" s="1"/>
  <c r="E17" i="121" s="1"/>
  <c r="E58" i="119"/>
  <c r="E9" i="121" s="1"/>
  <c r="E68" i="119"/>
  <c r="E80" i="119"/>
  <c r="C94" i="119"/>
  <c r="D94" i="119"/>
  <c r="E94" i="119"/>
  <c r="E127" i="119" s="1"/>
  <c r="C124" i="119"/>
  <c r="D124" i="119"/>
  <c r="E124" i="119"/>
  <c r="I16" i="121" s="1"/>
  <c r="I17" i="121" s="1"/>
  <c r="I31" i="121" s="1"/>
  <c r="D128" i="119"/>
  <c r="E128" i="119"/>
  <c r="C132" i="119"/>
  <c r="D132" i="119"/>
  <c r="E132" i="119"/>
  <c r="C137" i="119"/>
  <c r="D137" i="119"/>
  <c r="E137" i="119"/>
  <c r="C142" i="119"/>
  <c r="D142" i="119"/>
  <c r="E142" i="119"/>
  <c r="H31" i="121"/>
  <c r="G31" i="121"/>
  <c r="C32" i="121"/>
  <c r="D31" i="121"/>
  <c r="D32" i="121"/>
  <c r="H29" i="120"/>
  <c r="G148" i="119" s="1"/>
  <c r="D29" i="120"/>
  <c r="G87" i="119" s="1"/>
  <c r="I29" i="120"/>
  <c r="D147" i="119"/>
  <c r="D88" i="125"/>
  <c r="D29" i="125"/>
  <c r="G29" i="120" l="1"/>
  <c r="F148" i="119" s="1"/>
  <c r="E18" i="120"/>
  <c r="I30" i="120" s="1"/>
  <c r="E86" i="119"/>
  <c r="D125" i="125"/>
  <c r="D65" i="125"/>
  <c r="C146" i="125"/>
  <c r="C147" i="125" s="1"/>
  <c r="C125" i="125"/>
  <c r="C30" i="120"/>
  <c r="H30" i="120"/>
  <c r="G30" i="120"/>
  <c r="H33" i="121"/>
  <c r="D33" i="121"/>
  <c r="E31" i="121"/>
  <c r="I33" i="121"/>
  <c r="E33" i="121"/>
  <c r="C33" i="121"/>
  <c r="G33" i="121"/>
  <c r="C31" i="121"/>
  <c r="D89" i="125"/>
  <c r="I32" i="121"/>
  <c r="C127" i="119"/>
  <c r="C152" i="119" s="1"/>
  <c r="D127" i="119"/>
  <c r="D148" i="119" s="1"/>
  <c r="E146" i="125"/>
  <c r="E40" i="126"/>
  <c r="G17" i="123"/>
  <c r="G34" i="122"/>
  <c r="C6" i="204"/>
  <c r="C11" i="204" s="1"/>
  <c r="C23" i="198"/>
  <c r="D146" i="125"/>
  <c r="D147" i="125" s="1"/>
  <c r="E125" i="125"/>
  <c r="E32" i="121"/>
  <c r="E63" i="119"/>
  <c r="E87" i="119" s="1"/>
  <c r="E147" i="119"/>
  <c r="E148" i="119" s="1"/>
  <c r="C147" i="119"/>
  <c r="C153" i="119" s="1"/>
  <c r="C145" i="172"/>
  <c r="C146" i="172" s="1"/>
  <c r="D40" i="126"/>
  <c r="D31" i="120"/>
  <c r="H31" i="120"/>
  <c r="C31" i="120"/>
  <c r="G31" i="120"/>
  <c r="C63" i="172"/>
  <c r="C87" i="172" s="1"/>
  <c r="E29" i="120" l="1"/>
  <c r="E30" i="120"/>
  <c r="D152" i="119"/>
  <c r="C148" i="119"/>
  <c r="E153" i="119"/>
  <c r="E147" i="125"/>
  <c r="E152" i="119"/>
  <c r="D153" i="119"/>
  <c r="I31" i="120" l="1"/>
  <c r="E31" i="120"/>
</calcChain>
</file>

<file path=xl/sharedStrings.xml><?xml version="1.0" encoding="utf-8"?>
<sst xmlns="http://schemas.openxmlformats.org/spreadsheetml/2006/main" count="3255" uniqueCount="989">
  <si>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</si>
  <si>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</si>
  <si>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</si>
  <si>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</si>
  <si>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</si>
  <si>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</si>
  <si>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</si>
  <si>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</si>
  <si>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</si>
  <si>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</si>
  <si>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</si>
  <si>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</si>
  <si>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</si>
  <si>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</si>
  <si>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</si>
  <si>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</si>
  <si>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</si>
  <si>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</si>
  <si>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</si>
  <si>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</si>
  <si>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Tiva-Szolg Nonprofit Kft.</t>
  </si>
  <si>
    <t>Nyírvidék Képző Központ Nonprofit Kft.</t>
  </si>
  <si>
    <t>Nyírségi Szakképzés - szervezési Közhasznú Nonprofit Kft.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</si>
  <si>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</si>
  <si>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</si>
  <si>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</si>
  <si>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</si>
  <si>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</si>
  <si>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</si>
  <si>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</si>
  <si>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</si>
  <si>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</si>
  <si>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</si>
  <si>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</si>
  <si>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</si>
  <si>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</si>
  <si>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</si>
  <si>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</si>
  <si>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</si>
  <si>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</si>
  <si>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</si>
  <si>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</si>
  <si>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</si>
  <si>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</si>
  <si>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3.2. Nemzetgazdasági szempontból kiemelt jelentőségű befektetett pénzügyi 
       eszközök értékhelyesbítése</t>
  </si>
  <si>
    <t>3.3. Korlátozottan forgalomképes befektetett pénzügyi eszközök értékhelyesbítése</t>
  </si>
  <si>
    <t>3.4. Üzleti befektetett pénzügyi eszközök értékhelyesbítése</t>
  </si>
  <si>
    <t>IV. Koncesszióba, vagyonkezelésbe adott eszközök</t>
  </si>
  <si>
    <t>A) NEMZETI VAGYONBA TARTOZÓ BEFEKTETETT ESZKÖZÖK 
     (01+02+28+44)</t>
  </si>
  <si>
    <t>I. Készletek</t>
  </si>
  <si>
    <t>II. Értékpapírok</t>
  </si>
  <si>
    <t>B) NEMZETI VAGYONBA TARTOZÓ FORGÓESZKÖZÖK (46+47)</t>
  </si>
  <si>
    <t>I. Lekötött bankbetétek</t>
  </si>
  <si>
    <t>II. Pénztárak, csekkek, betétkönyvek</t>
  </si>
  <si>
    <t>III. Forintszámlák</t>
  </si>
  <si>
    <t>IV. Devizaszámlák</t>
  </si>
  <si>
    <t>C) PÉNZESZKÖZÖK (49+50+51+52)</t>
  </si>
  <si>
    <t>I. Költségvetési évben esedékes követelések</t>
  </si>
  <si>
    <t>II. Költségvetési évet követően esedékes követelések</t>
  </si>
  <si>
    <t>III. Követelés jellegű sajátos elszámolások</t>
  </si>
  <si>
    <t>D) KÖVETELÉSEK (54+55+56)</t>
  </si>
  <si>
    <t>F) AKTÍV IDŐBELI ELHATÁROLÁSOK</t>
  </si>
  <si>
    <t>FORRÁSOK</t>
  </si>
  <si>
    <t>állományi 
érték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</si>
  <si>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</si>
  <si>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</si>
  <si>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</si>
  <si>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</si>
  <si>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</si>
  <si>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</si>
  <si>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</si>
  <si>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</si>
  <si>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</si>
  <si>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</si>
  <si>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</si>
  <si>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FORRÁSOK ÖSSZESEN  (07+11+12+13)</t>
  </si>
  <si>
    <t>Mennyiség
(db)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</si>
  <si>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</si>
  <si>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</si>
  <si>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</si>
  <si>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</si>
  <si>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</si>
  <si>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</si>
  <si>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</si>
  <si>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</si>
  <si>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</si>
  <si>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</si>
  <si>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</si>
  <si>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</si>
  <si>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</si>
  <si>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</si>
  <si>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</si>
  <si>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</si>
  <si>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</si>
  <si>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</si>
  <si>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</si>
  <si>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Nyilvántartott függő követelések, kötelezettségek
(db)</t>
  </si>
  <si>
    <t>Támogatási célú előlegekkel kapcsolatos elszámolási követelések</t>
  </si>
  <si>
    <t>Egyéb függő követelések</t>
  </si>
  <si>
    <t>Biztos (jövőbeni) követelések</t>
  </si>
  <si>
    <t>Függő és biztos (jövőbeni) követelések (1+…+3)</t>
  </si>
  <si>
    <t>Kezességgel-, garanciavállalással kapcsolatos függő kötelezettségek</t>
  </si>
  <si>
    <t>Peres ügyekkel kapcsolatos függő kötelezettségek</t>
  </si>
  <si>
    <t>El nem ismert tartozások</t>
  </si>
  <si>
    <t>Támogatási célú előlegekkel kapcsolatos elszámolási kötelezettségek</t>
  </si>
  <si>
    <t>Egyéb függő kötelezettségek</t>
  </si>
  <si>
    <t>Függő kötelezettségek (5+…+9)</t>
  </si>
  <si>
    <t>Összesen (4+10)+(11+…+33):</t>
  </si>
  <si>
    <t>PÉNZESZKÖZÖK VÁLTOZÁSÁNAK LEVEZETÉSE</t>
  </si>
  <si>
    <t>Bevételek   ( + )</t>
  </si>
  <si>
    <t>Kiadások    ( -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</si>
  <si>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</si>
  <si>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</si>
  <si>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Bevételi jogcímek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</si>
  <si>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</si>
  <si>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</si>
  <si>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</si>
  <si>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Kezességvállalással kapcsolatos megtérülés</t>
  </si>
  <si>
    <t>VAGYONKIMUTATÁS</t>
  </si>
  <si>
    <t xml:space="preserve">a könyvviteli mérlegben értékkel szereplő eszközökről                                                                </t>
  </si>
  <si>
    <t xml:space="preserve">VAGYONKIMUTATÁS                                                                                                               </t>
  </si>
  <si>
    <t>az érték nélkül nyilvántartott eszközökről</t>
  </si>
  <si>
    <t>a függő követelésekről és a kötelezettségekről, a biztos (jövőbeni) követelésekről</t>
  </si>
  <si>
    <t>a könyvviteli mérlegben értékkel szereplő forrásokról</t>
  </si>
  <si>
    <t>Adatok: Forintban!</t>
  </si>
  <si>
    <t>SAJÁT BEVÉTELEK ÖSSZESEN*</t>
  </si>
  <si>
    <t>*Az adósságot keletkeztető ügyletekhez történő hozzájárulás részletes szabályairól szóló 353/2011. (XII.31.) Korm. Rendelet 2.§ (1) bekezdése alapján.</t>
  </si>
  <si>
    <t>2.10.</t>
  </si>
  <si>
    <t>I. Működési célú bevételek és kiadások mérlege
(Önkormányzati szinten)</t>
  </si>
  <si>
    <t>Bevételek</t>
  </si>
  <si>
    <t>Kiadások</t>
  </si>
  <si>
    <t xml:space="preserve">Dologi kiadások </t>
  </si>
  <si>
    <t xml:space="preserve">   Költségvetési maradvány igénybevétele </t>
  </si>
  <si>
    <t xml:space="preserve">   Vállalkozási maradvány igénybevétele </t>
  </si>
  <si>
    <t xml:space="preserve">   Betét visszavonásából származó bevétel </t>
  </si>
  <si>
    <t xml:space="preserve">   Egyéb belső finanszírozási bevételek</t>
  </si>
  <si>
    <t>Kölcsön törlesztése</t>
  </si>
  <si>
    <t>Költségvetési hiány:</t>
  </si>
  <si>
    <t>Költségvetési többlet:</t>
  </si>
  <si>
    <t>Tárgyévi  hiány:</t>
  </si>
  <si>
    <t>Tárgyévi  többlet:</t>
  </si>
  <si>
    <t>II. Felhalmozási célú bevételek és kiadások mérlege
(Önkormányzati szinten)</t>
  </si>
  <si>
    <t>Beruházások</t>
  </si>
  <si>
    <t>Egyéb felhalmozási kiadások</t>
  </si>
  <si>
    <t>Hiány belső finanszírozás bevételei ( 14+…+18)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</si>
  <si>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</si>
  <si>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</si>
  <si>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</si>
  <si>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</si>
  <si>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</si>
  <si>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</si>
  <si>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</si>
  <si>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</si>
  <si>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</si>
  <si>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</si>
  <si>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Működési célú visszatérítendő támogatások kölcsönök visszatér. ÁH-n kívülről</t>
  </si>
  <si>
    <t>Felhalm. célú visszatérítendő támogatások kölcsönök visszatér. ÁH-n kívülről</t>
  </si>
  <si>
    <t>Hitel-, kölcsönfelvétel államháztartáson kívülről  (10.1.+…+10.3.)</t>
  </si>
  <si>
    <t>2018.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</si>
  <si>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</si>
  <si>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</si>
  <si>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</si>
  <si>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</si>
  <si>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</si>
  <si>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</si>
  <si>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</si>
  <si>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 xml:space="preserve">Pénzeszközök betétként elhelyezése </t>
  </si>
  <si>
    <r>
      <t xml:space="preserve">Működési költségvetés kiadásai </t>
    </r>
    <r>
      <rPr>
        <sz val="8"/>
        <rFont val="Times New Roman CE"/>
        <charset val="238"/>
      </rPr>
      <t>(1.1+…+1.5.)</t>
    </r>
  </si>
  <si>
    <r>
      <t xml:space="preserve">Felhalmozási költségvetés kiadásai </t>
    </r>
    <r>
      <rPr>
        <sz val="8"/>
        <rFont val="Times New Roman CE"/>
        <charset val="238"/>
      </rPr>
      <t>(2.1.+2.3.+2.5.)</t>
    </r>
  </si>
  <si>
    <t xml:space="preserve">Hitel, kölcsön </t>
  </si>
  <si>
    <t>Kölcsön-
nyújtás
éve</t>
  </si>
  <si>
    <t xml:space="preserve">Lejárat
éve </t>
  </si>
  <si>
    <t>Hitel, kölcsön állomány december 31-én</t>
  </si>
  <si>
    <t xml:space="preserve">Rövid lejáratú </t>
  </si>
  <si>
    <t>Hosszú lejáratú</t>
  </si>
  <si>
    <t>Összesen (1+8)</t>
  </si>
  <si>
    <t>Szabadidős Programszervező Egyesület</t>
  </si>
  <si>
    <t>Köztestületi Tűzoltóság</t>
  </si>
  <si>
    <t>Tiszavasvári Polgárőrség</t>
  </si>
  <si>
    <t>Tiszavasvári Sportegyesület</t>
  </si>
  <si>
    <t>Tiszavasvári Diáksport Egyesület</t>
  </si>
  <si>
    <t>Tiszavasvári Sportegyesület TAO pályázat önerő</t>
  </si>
  <si>
    <t>Magiszter Alapítványi Óvoda támogatás</t>
  </si>
  <si>
    <t>működési célú támogatás</t>
  </si>
  <si>
    <t>felhalmozási célú támogatás</t>
  </si>
  <si>
    <t>4.1.3</t>
  </si>
  <si>
    <t>Helyi adók  (4.1.1.+4.1.2.+4.1.3.+4.1.4.)</t>
  </si>
  <si>
    <t>1.16.</t>
  </si>
  <si>
    <t xml:space="preserve">  Értékesítési és forgalmi adó</t>
  </si>
  <si>
    <t xml:space="preserve">  Jövedelemadó</t>
  </si>
  <si>
    <t>Közhatalmi bevételek (4.1.+...+4.4.)</t>
  </si>
  <si>
    <t>F=(C+E)</t>
  </si>
  <si>
    <t>Egyéb külső finanszírozási bevételek</t>
  </si>
  <si>
    <t>Tiszavasvári Bölcsőde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</si>
  <si>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</si>
  <si>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</si>
  <si>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</si>
  <si>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</si>
  <si>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</si>
  <si>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Ingatlanok értékesítése</t>
  </si>
  <si>
    <t>Támogatási szerződés szerinti bevételek, kiadások</t>
  </si>
  <si>
    <t>Évenkénti üteme</t>
  </si>
  <si>
    <t>Összes bevétel,
kiadás</t>
  </si>
  <si>
    <t>Saját erő</t>
  </si>
  <si>
    <t>Államháztartáson belüli megelőlegezés visszafizetése</t>
  </si>
  <si>
    <t xml:space="preserve">   Értékpapírok bevételei/államháztartáson belüli megelőlegezés</t>
  </si>
  <si>
    <t>- saját erőből központi támogatás</t>
  </si>
  <si>
    <t>EU-s forrás</t>
  </si>
  <si>
    <t>Társfinanszírozás</t>
  </si>
  <si>
    <t>Hitel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</si>
  <si>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</si>
  <si>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</si>
  <si>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</si>
  <si>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</si>
  <si>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</si>
  <si>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</si>
  <si>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</si>
  <si>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Polgármesteri hivatal</t>
  </si>
  <si>
    <t>Kiadások összesen:</t>
  </si>
  <si>
    <t>Támogatott neve</t>
  </si>
  <si>
    <t>Megnevezés</t>
  </si>
  <si>
    <t>Teljesítés</t>
  </si>
  <si>
    <t>Eredeti</t>
  </si>
  <si>
    <t>Módosított</t>
  </si>
  <si>
    <t>Összesen:</t>
  </si>
  <si>
    <t>Felújítások</t>
  </si>
  <si>
    <t>Városi Kincstár</t>
  </si>
  <si>
    <t>ÖSSZESEN:</t>
  </si>
  <si>
    <t>1.</t>
  </si>
  <si>
    <t>Értéke
(Ft)</t>
  </si>
  <si>
    <t>NEMLEGES</t>
  </si>
  <si>
    <t>ÖNK</t>
  </si>
  <si>
    <t>PH</t>
  </si>
  <si>
    <t>KINCSTÁR</t>
  </si>
  <si>
    <t>2.</t>
  </si>
  <si>
    <t>3.</t>
  </si>
  <si>
    <t>4.</t>
  </si>
  <si>
    <t>5.</t>
  </si>
  <si>
    <t>Tartalékok</t>
  </si>
  <si>
    <t>Személyi juttatások</t>
  </si>
  <si>
    <t>6.</t>
  </si>
  <si>
    <t>7.</t>
  </si>
  <si>
    <t>8.</t>
  </si>
  <si>
    <t>9.</t>
  </si>
  <si>
    <t>10.</t>
  </si>
  <si>
    <t>11.</t>
  </si>
  <si>
    <t>12.</t>
  </si>
  <si>
    <t>13.</t>
  </si>
  <si>
    <t>Összesen</t>
  </si>
  <si>
    <t>Források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</si>
  <si>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</si>
  <si>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</si>
  <si>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</si>
  <si>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</si>
  <si>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</si>
  <si>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</si>
  <si>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</si>
  <si>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</si>
  <si>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</si>
  <si>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</si>
  <si>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</si>
  <si>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</si>
  <si>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</si>
  <si>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</si>
  <si>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</si>
  <si>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</si>
  <si>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</si>
  <si>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</si>
  <si>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</si>
  <si>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</si>
  <si>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</si>
  <si>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</si>
  <si>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</si>
  <si>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</si>
  <si>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</si>
  <si>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</si>
  <si>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</si>
  <si>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</si>
  <si>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</si>
  <si>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</si>
  <si>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</si>
  <si>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</si>
  <si>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</si>
  <si>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</si>
  <si>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5.11.</t>
  </si>
  <si>
    <t>Biztosító által fizetett kártérítés</t>
  </si>
  <si>
    <t xml:space="preserve">   - Törvényi előíráson alapuló befizetések</t>
  </si>
  <si>
    <t xml:space="preserve">   - Előző évi elszámolásból származó befizetések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</si>
  <si>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</si>
  <si>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</si>
  <si>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</si>
  <si>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</si>
  <si>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</si>
  <si>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</si>
  <si>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</si>
  <si>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</si>
  <si>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</si>
  <si>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</si>
  <si>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</si>
  <si>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</si>
  <si>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</si>
  <si>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</si>
  <si>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</si>
  <si>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Közhatalmi bevételek</t>
  </si>
  <si>
    <t>Egyesített Óvodai Intézmény</t>
  </si>
  <si>
    <t>I) EGYÉB SAJÁTOS FORRÁSOLDALI ELSZÁMOLÁSOK</t>
  </si>
  <si>
    <t>J) KINCSTÁRI SZÁMLAVEZETÉSSEL KAPCSOLATOS ELSZÁMOLÁSOK</t>
  </si>
  <si>
    <t>K) PASSZÍV IDŐBELI ELHATÁROLÁSOK</t>
  </si>
  <si>
    <t>B E V É T E L E K</t>
  </si>
  <si>
    <t>1. sz. táblázat</t>
  </si>
  <si>
    <t>Sor-szám</t>
  </si>
  <si>
    <t>Bevételi jogcím</t>
  </si>
  <si>
    <t>3.1.</t>
  </si>
  <si>
    <t>3.2.</t>
  </si>
  <si>
    <t>Helyi adók</t>
  </si>
  <si>
    <t>3.3.</t>
  </si>
  <si>
    <t>3.4.</t>
  </si>
  <si>
    <t>4.1.</t>
  </si>
  <si>
    <t>4.2.</t>
  </si>
  <si>
    <t>5.1.</t>
  </si>
  <si>
    <t>5.2.</t>
  </si>
  <si>
    <t>5.3.</t>
  </si>
  <si>
    <t>6.1.</t>
  </si>
  <si>
    <t>6.2.</t>
  </si>
  <si>
    <t>7.1.</t>
  </si>
  <si>
    <t>7.2.</t>
  </si>
  <si>
    <t>11.1.</t>
  </si>
  <si>
    <t>11.2.</t>
  </si>
  <si>
    <t>K I A D Á S O K</t>
  </si>
  <si>
    <t>2. sz. táblázat</t>
  </si>
  <si>
    <t>1.1.</t>
  </si>
  <si>
    <t>Személyi  juttatások</t>
  </si>
  <si>
    <t>1.2.</t>
  </si>
  <si>
    <t>1.3.</t>
  </si>
  <si>
    <t>Dologi  kiadások</t>
  </si>
  <si>
    <t>1.4.</t>
  </si>
  <si>
    <t>1.5</t>
  </si>
  <si>
    <t>1.6.</t>
  </si>
  <si>
    <t>1.7.</t>
  </si>
  <si>
    <t>1.8.</t>
  </si>
  <si>
    <t>1.9.</t>
  </si>
  <si>
    <t>1.10.</t>
  </si>
  <si>
    <t>1.11.</t>
  </si>
  <si>
    <t>1.12.</t>
  </si>
  <si>
    <t>2.1.</t>
  </si>
  <si>
    <t>2.2.</t>
  </si>
  <si>
    <t>2.3.</t>
  </si>
  <si>
    <t>2.4.</t>
  </si>
  <si>
    <t>2.5.</t>
  </si>
  <si>
    <t>2.6.</t>
  </si>
  <si>
    <t>2.7.</t>
  </si>
  <si>
    <t>Általános tartalék</t>
  </si>
  <si>
    <t>Céltartalék</t>
  </si>
  <si>
    <t>Rövid lejáratú hitelek törlesztése</t>
  </si>
  <si>
    <t>2.3.-ből        - Garancia- és kezességvállalásból kifizetés ÁH-n belülre</t>
  </si>
  <si>
    <t xml:space="preserve">EU-s projekt neve, azonosítója: </t>
  </si>
  <si>
    <t>GINOP 5.2.1-14-2015-00001 pályázat (fő)</t>
  </si>
  <si>
    <t>I. Előzetesen felszámított általános forgalmi adó elszámolása</t>
  </si>
  <si>
    <t>III. Utalványok, bérletek és más hasonló, készpénz-helyettesítő fizetési 
     eszköznek nem minősülő eszközök elszámolásai</t>
  </si>
  <si>
    <t>ESZKÖZÖK ÖSSZESEN  (45+48+53+57+60+61)</t>
  </si>
  <si>
    <r>
      <t xml:space="preserve">„0”-ra leírt eszközök </t>
    </r>
    <r>
      <rPr>
        <i/>
        <sz val="8"/>
        <color indexed="10"/>
        <rFont val="Times New Roman"/>
        <family val="1"/>
        <charset val="238"/>
      </rPr>
      <t>(kis értékű tárgyi eszközök nélkül)</t>
    </r>
  </si>
  <si>
    <t>Összeg  ( Ft )</t>
  </si>
  <si>
    <t>Folyószámlahitel*(keret: 100 000eFt)</t>
  </si>
  <si>
    <t>ÉAOP Óvodabővítés projekt saját erő hitel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</si>
  <si>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</si>
  <si>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</si>
  <si>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</si>
  <si>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</si>
  <si>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Beruházási kiadások beruházásonként</t>
  </si>
  <si>
    <t>E) EGYÉB SAJÁTOS ESZKÖZOLDALI ELSZÁMOLÁSOK (58+59+60)</t>
  </si>
  <si>
    <t>Hosszú lejáratú hitelek törlesztése</t>
  </si>
  <si>
    <t>3. sz. táblázat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</si>
  <si>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</si>
  <si>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</si>
  <si>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</si>
  <si>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</si>
  <si>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</si>
  <si>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</si>
  <si>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</si>
  <si>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</si>
  <si>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</si>
  <si>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I. Belföldi hitelezők</t>
  </si>
  <si>
    <t>Adóhatósággal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</si>
  <si>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</si>
  <si>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</si>
  <si>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</si>
  <si>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</si>
  <si>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</si>
  <si>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</si>
  <si>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</si>
  <si>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</si>
  <si>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</si>
  <si>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</si>
  <si>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</si>
  <si>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Sor-
szám</t>
  </si>
  <si>
    <t>Kötelezettség
jogcíme</t>
  </si>
  <si>
    <t>Kötelezettség- 
vállalás 
éve</t>
  </si>
  <si>
    <t>Összes vállalt kötelezettség</t>
  </si>
  <si>
    <t>Kötelezettségek a következő években</t>
  </si>
  <si>
    <t>Még fennálló kötelezettség</t>
  </si>
  <si>
    <t>Egyéb</t>
  </si>
  <si>
    <t>Összesen (1+4+7+9+11)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</si>
  <si>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</si>
  <si>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</si>
  <si>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</si>
  <si>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</si>
  <si>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</si>
  <si>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</si>
  <si>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</si>
  <si>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</si>
  <si>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</si>
  <si>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</si>
  <si>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</si>
  <si>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Sorszám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</si>
  <si>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</si>
  <si>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</si>
  <si>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</si>
  <si>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</si>
  <si>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 xml:space="preserve">       ÖSSZESEN:</t>
  </si>
  <si>
    <t>Gépjárműadóból biztosított kedvezmény, mentesség</t>
  </si>
  <si>
    <t>Helyiségek hasznosítása utáni kedvezmény, menteség</t>
  </si>
  <si>
    <t>Eszközök hasznosítása utáni kedvezmény, menteség</t>
  </si>
  <si>
    <t>Egyéb kedvezmény</t>
  </si>
  <si>
    <t>Egyéb kölcsön elengedése</t>
  </si>
  <si>
    <t>A helyi adókból biztosított kedvezményeket, mentességeket, adónemenként kell feltüntetni.</t>
  </si>
  <si>
    <t>3.5.</t>
  </si>
  <si>
    <t>3.6.</t>
  </si>
  <si>
    <t xml:space="preserve">4. </t>
  </si>
  <si>
    <t>5.4.</t>
  </si>
  <si>
    <t>5.5.</t>
  </si>
  <si>
    <t>5.6.</t>
  </si>
  <si>
    <t>5.7.</t>
  </si>
  <si>
    <t>5.8.</t>
  </si>
  <si>
    <t xml:space="preserve">7. </t>
  </si>
  <si>
    <t>7.3.</t>
  </si>
  <si>
    <t>8.1.</t>
  </si>
  <si>
    <t>8.2.</t>
  </si>
  <si>
    <t>Vállalkozási maradvány igénybevétele</t>
  </si>
  <si>
    <t>Munkaadókat terhelő járulékok és szociális hozzájárulási adó</t>
  </si>
  <si>
    <t>Ellátottak pénzbeli juttatásai</t>
  </si>
  <si>
    <t>Egyéb működési célú kiadások</t>
  </si>
  <si>
    <t>2.8.</t>
  </si>
  <si>
    <t>2.9.</t>
  </si>
  <si>
    <t>Ezer forintban</t>
  </si>
  <si>
    <t>Eredeti előirányzat</t>
  </si>
  <si>
    <t>Módosított előirányzat</t>
  </si>
  <si>
    <t>A</t>
  </si>
  <si>
    <t>B</t>
  </si>
  <si>
    <t>C</t>
  </si>
  <si>
    <t>D</t>
  </si>
  <si>
    <t>E</t>
  </si>
  <si>
    <t>Önkormányzat működési támogatásai (1.1.+…+.1.6.)</t>
  </si>
  <si>
    <t>Felhalmozási feladatonként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</si>
  <si>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</si>
  <si>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</si>
  <si>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</si>
  <si>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</si>
  <si>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1.5.</t>
  </si>
  <si>
    <t>Forintban!</t>
  </si>
  <si>
    <t>Helyi önkormányzatok kiegészítő támogatásai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</si>
  <si>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</si>
  <si>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</si>
  <si>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</si>
  <si>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</si>
  <si>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</si>
  <si>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</si>
  <si>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</si>
  <si>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</si>
  <si>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</si>
  <si>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</si>
  <si>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Felhalmozási célú visszatérítendő támogatások, kölcsönök visszatérülése</t>
  </si>
  <si>
    <t>Felhalmozási célú visszatérítendő támogatások, kölcsönök igénybevétele</t>
  </si>
  <si>
    <t>Egyéb felhalmozási célú támogatások bevételei</t>
  </si>
  <si>
    <t>3.5.-ből EU-s támogatás</t>
  </si>
  <si>
    <t>Közhatalmi bevételek (4.1.+4.2.+4.3.+4.4.)</t>
  </si>
  <si>
    <t>4.1.1.</t>
  </si>
  <si>
    <t>- Vagyoni típusú adók</t>
  </si>
  <si>
    <t>4.1.2.</t>
  </si>
  <si>
    <t>II. Fizetendő általános forgalmi adó elszámolása</t>
  </si>
  <si>
    <t>63.</t>
  </si>
  <si>
    <t>Gépjárműadó</t>
  </si>
  <si>
    <t>4.3.</t>
  </si>
  <si>
    <t>Egyéb áruhasználati és szolgáltatási adók</t>
  </si>
  <si>
    <t>Egyéb közhatalmi bevételek</t>
  </si>
  <si>
    <t>Működési bevételek (5.1.+…+ 5.10.)</t>
  </si>
  <si>
    <t>Készletértékesítés ellenértéke</t>
  </si>
  <si>
    <t>Működési bevételek</t>
  </si>
  <si>
    <t xml:space="preserve">   Államháztartáson belüli megelőlegezés</t>
  </si>
  <si>
    <t>Forintban</t>
  </si>
  <si>
    <t xml:space="preserve"> Forintban !</t>
  </si>
  <si>
    <t>Forintban !</t>
  </si>
  <si>
    <t>Működési célú költségvetési támogatások és kiegészítő támogatások</t>
  </si>
  <si>
    <t>Elszámolásból származó bevételek</t>
  </si>
  <si>
    <t>GIOP 5.2.1-14 pályázat keretében foglalkoztatottak létszáma (fő)</t>
  </si>
  <si>
    <t>Gyakorlati képzés-szoc. gondozó és ápoló (fő)</t>
  </si>
  <si>
    <t>NRSZH pályázat- megvált. Munkakép. Fogl. Létszám (fő)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</si>
  <si>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</si>
  <si>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</si>
  <si>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</si>
  <si>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</si>
  <si>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</si>
  <si>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</si>
  <si>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</si>
  <si>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</si>
  <si>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</si>
  <si>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</si>
  <si>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</si>
  <si>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</si>
  <si>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Immateriális javak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</si>
  <si>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</si>
  <si>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</si>
  <si>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</si>
  <si>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</si>
  <si>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</si>
  <si>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</si>
  <si>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</si>
  <si>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</si>
  <si>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</si>
  <si>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</si>
  <si>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7.4.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</si>
  <si>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</si>
  <si>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</si>
  <si>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</si>
  <si>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</si>
  <si>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</si>
  <si>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</si>
  <si>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</si>
  <si>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</si>
  <si>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</si>
  <si>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</si>
  <si>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</si>
  <si>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</si>
  <si>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</si>
  <si>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</si>
  <si>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</si>
  <si>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</si>
  <si>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</si>
  <si>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</si>
  <si>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</si>
  <si>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</si>
  <si>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</si>
  <si>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</si>
  <si>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</si>
  <si>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</si>
  <si>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</si>
  <si>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</si>
  <si>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</si>
  <si>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</si>
  <si>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</si>
  <si>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</si>
  <si>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Működési célú
hiteltörlesztés (tőke)</t>
  </si>
  <si>
    <t>Felhalmozási célú
hiteltörlesztés (tőke)</t>
  </si>
  <si>
    <t>Tiszavasvári Város Köztkeztetési Nonprofit Kft.</t>
  </si>
  <si>
    <t>Tiszavasvári Egészségügyi Szolgáltató Nonprofit Közhasznú Kft.</t>
  </si>
  <si>
    <t>Hajdúkerületi és Bihari Víziközmű Szolgáltató Zrt.</t>
  </si>
  <si>
    <t>OTP Bank Nyrt.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</si>
  <si>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</si>
  <si>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</si>
  <si>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</si>
  <si>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</si>
  <si>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</si>
  <si>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</si>
  <si>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</si>
  <si>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</si>
  <si>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</si>
  <si>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</si>
  <si>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</si>
  <si>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</si>
  <si>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</si>
  <si>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</si>
  <si>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2019.</t>
  </si>
  <si>
    <t>Egyesített Közművelődési Intézmény és Könyvtár</t>
  </si>
  <si>
    <t>Kornisné Liptay Elza Szociális és Gyermekjóléti Központ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</si>
  <si>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</si>
  <si>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</si>
  <si>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</si>
  <si>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</si>
  <si>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</si>
  <si>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</si>
  <si>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</si>
  <si>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</si>
  <si>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</si>
  <si>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</si>
  <si>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</si>
  <si>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Kiadási jogcím</t>
  </si>
  <si>
    <t xml:space="preserve"> - az 1.5-ből: - Elvonások és befizetések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</si>
  <si>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</si>
  <si>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</si>
  <si>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</si>
  <si>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</si>
  <si>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</si>
  <si>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</si>
  <si>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</si>
  <si>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</si>
  <si>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</si>
  <si>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</si>
  <si>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</si>
  <si>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</si>
  <si>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t>2.5.-ből        - Garancia- és kezességvállalásból kifizetés ÁH-n belülre</t>
  </si>
  <si>
    <t xml:space="preserve">   - Visszatérítendő támogatások, kölcsönök nyújtása ÁH-n belülre</t>
  </si>
  <si>
    <t xml:space="preserve">   - Egyéb felhalmozási célú támogatások ÁH-n belülre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</si>
  <si>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</si>
  <si>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</si>
  <si>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</si>
  <si>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</si>
  <si>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</si>
  <si>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</si>
  <si>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</si>
  <si>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</si>
  <si>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</si>
  <si>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</si>
  <si>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</si>
  <si>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</si>
  <si>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</si>
  <si>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</si>
  <si>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</si>
  <si>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</si>
  <si>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</si>
  <si>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</si>
  <si>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</si>
  <si>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</si>
  <si>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</si>
  <si>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</si>
  <si>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</si>
  <si>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</si>
  <si>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</si>
  <si>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</si>
  <si>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</si>
  <si>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</si>
  <si>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</si>
  <si>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</si>
  <si>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</si>
  <si>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</si>
  <si>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</si>
  <si>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</si>
  <si>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F</t>
  </si>
  <si>
    <t>G</t>
  </si>
  <si>
    <t>H</t>
  </si>
  <si>
    <t>I</t>
  </si>
  <si>
    <t>Önkormányzatok működési támogatásai</t>
  </si>
  <si>
    <t>Működési célú támogatások államháztartáson belülről</t>
  </si>
  <si>
    <t>Működési célú átvett pénzeszközök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</si>
  <si>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</si>
  <si>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</si>
  <si>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</si>
  <si>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Likviditási célú hitelek törlesztése</t>
  </si>
  <si>
    <t xml:space="preserve">Hiány külső finanszírozásának bevételei (20.+…+21.) </t>
  </si>
  <si>
    <t xml:space="preserve">   Likviditási célú hitelek, kölcsönök felvétele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</si>
  <si>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</si>
  <si>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</si>
  <si>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</si>
  <si>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</si>
  <si>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>Felhalmozási célú támogatások államháztartáson belülről</t>
  </si>
  <si>
    <t>Felhalmozási bevételek</t>
  </si>
  <si>
    <t>Felhalmozási célú átvett pénzeszközök átvétele</t>
  </si>
  <si>
    <t>Egyéb felhalmozási célú bevételek</t>
  </si>
  <si>
    <t>Költségvetési bevételek összesen: (1.+3.+4.+6.+…+11.)</t>
  </si>
  <si>
    <t>Költségvetési kiadások összesen: (1.+3.+5.+...+11.)</t>
  </si>
  <si>
    <t>Pénzügyi lízing kiadásai</t>
  </si>
  <si>
    <t>Felhalmozási célú finanszírozási bevételek összesen (13.+19.)</t>
  </si>
  <si>
    <t>Felhalmozási célú finanszírozási kiadások összesen (13.+...+24.)</t>
  </si>
  <si>
    <t>BEVÉTEL ÖSSZESEN (12+25)</t>
  </si>
  <si>
    <t>KIADÁSOK ÖSSZESEN (12+25)</t>
  </si>
  <si>
    <t>Beruházási (felhalmozási) kiadások előirányzata beruházásonként</t>
  </si>
  <si>
    <t>Beruházás  megnevezése</t>
  </si>
  <si>
    <t>Teljes költség</t>
  </si>
  <si>
    <t>Kivitelezés kezdési és befejezési éve</t>
  </si>
  <si>
    <t>G=(D+F)</t>
  </si>
  <si>
    <t>Felújítási kiadások előirányzata felújításonként</t>
  </si>
  <si>
    <t>Felújítás  megnevezése</t>
  </si>
  <si>
    <t>J</t>
  </si>
  <si>
    <t>K</t>
  </si>
  <si>
    <t>L=(J+K)</t>
  </si>
  <si>
    <t>M=(L/C)</t>
  </si>
  <si>
    <t>* Amennyiben több projekt megvalósítása történi egy időben akkor azokat külön-külön, projektenként be kell mutatni!</t>
  </si>
  <si>
    <t>Eredeti ei.</t>
  </si>
  <si>
    <t>Módosított ei.</t>
  </si>
  <si>
    <t>Önkormányzat</t>
  </si>
  <si>
    <t>01</t>
  </si>
  <si>
    <t>Feladat
megnevezése</t>
  </si>
  <si>
    <t>Összes bevétel, kiadás</t>
  </si>
  <si>
    <t>Száma</t>
  </si>
  <si>
    <t>Előirányzat-csoport, kiemelt előirányzat megnevezése</t>
  </si>
  <si>
    <t>Felhalm. célú visszatérítendő tám., kölcsönök visszatér. ÁH-n kívülről</t>
  </si>
  <si>
    <t xml:space="preserve"> 10.</t>
  </si>
  <si>
    <t xml:space="preserve">    Rövid lejáratú  hitelek, kölcsönök felvétele</t>
  </si>
  <si>
    <t>BEVÉTELEK ÖSSZESEN: (9+16)</t>
  </si>
  <si>
    <t>Hitel-, kölcsöntörlesztés államháztartáson kívülre (5.1.+…+5.3.)</t>
  </si>
  <si>
    <t>Belföldi finanszírozás kiadásai (7.1. + … + 7.5.)</t>
  </si>
  <si>
    <t>Irányító szervi támogatás folyósítása (intézményfinanszírozás)</t>
  </si>
  <si>
    <t>7.5.</t>
  </si>
  <si>
    <t>Külföldi finanszírozás kiadásai (8.1. + … + 8.4.)</t>
  </si>
  <si>
    <t>Éves engedélyezett létszám előirányzat (fő)</t>
  </si>
  <si>
    <t>Közfoglalkoztatottak létszáma (fő)</t>
  </si>
  <si>
    <t>Költségvetési szerv megnevezése</t>
  </si>
  <si>
    <t>02</t>
  </si>
  <si>
    <t>Feladat 
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</si>
  <si>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</si>
  <si>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</si>
  <si>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</si>
  <si>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</si>
  <si>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</si>
  <si>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</si>
  <si>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- 2.3-ból EU-s támogatás</t>
  </si>
  <si>
    <t>Felhalmozási célú támogatások államháztartáson belülről (4.1.+4.2.)</t>
  </si>
  <si>
    <t>Egyéb felhalmozási célú támogatások bevételei államháztartáson belülről</t>
  </si>
  <si>
    <t>- 4.2-ből EU-s támogatás</t>
  </si>
  <si>
    <t>Felhalmozási bevételek (5.1.+…+5.3.)</t>
  </si>
  <si>
    <t>Felhalmozási célú átvett pénzeszközök</t>
  </si>
  <si>
    <t>KÖLTSÉGVETÉSI BEVÉTELEK ÖSSZESEN: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</si>
  <si>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</si>
  <si>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</si>
  <si>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</si>
  <si>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</si>
  <si>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</si>
  <si>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</si>
  <si>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</si>
  <si>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</si>
  <si>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</si>
  <si>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- 2.3-ból EU-s forrásból tám. megvalósuló programok, projektek kiadásai</t>
  </si>
  <si>
    <t>KIADÁSOK ÖSSZESEN: (1.+2.)</t>
  </si>
  <si>
    <t>03</t>
  </si>
  <si>
    <t>Feladat megnevezése</t>
  </si>
  <si>
    <t xml:space="preserve"> - 2.3.-ból EU-s támogatás</t>
  </si>
  <si>
    <t>- 4.2.-ből EU-s támogatás</t>
  </si>
  <si>
    <t>Költségvetési bevételek összesen (1.+…+7.)</t>
  </si>
  <si>
    <t xml:space="preserve"> - 2.3.-ból EU-s forrásból tám. megvalósuló programok, projektek kiadásai</t>
  </si>
  <si>
    <t>Költségvetési szerv neve</t>
  </si>
  <si>
    <t>Költségvetési maradvány összege</t>
  </si>
  <si>
    <t>Elvonás
(-)</t>
  </si>
  <si>
    <t>Intézményt megillető maradvány</t>
  </si>
  <si>
    <t>Jóváhagyott</t>
  </si>
  <si>
    <t>Jóváhagyott-ból működési</t>
  </si>
  <si>
    <t>Jóváhagyott-ból felhalmozási</t>
  </si>
  <si>
    <r>
      <t>E=(C</t>
    </r>
    <r>
      <rPr>
        <b/>
        <sz val="8"/>
        <rFont val="Arial"/>
        <family val="2"/>
        <charset val="238"/>
      </rPr>
      <t>-D</t>
    </r>
    <r>
      <rPr>
        <b/>
        <sz val="8"/>
        <rFont val="Times New Roman CE"/>
        <family val="1"/>
        <charset val="238"/>
      </rPr>
      <t>)</t>
    </r>
  </si>
  <si>
    <t xml:space="preserve">B </t>
  </si>
  <si>
    <t>J=(F+…+I)</t>
  </si>
  <si>
    <t>............................</t>
  </si>
  <si>
    <t>H=(D+…+G)</t>
  </si>
  <si>
    <t>I=(C+H)</t>
  </si>
  <si>
    <t>Támogatott szervezet neve</t>
  </si>
  <si>
    <t>Támogatás célja</t>
  </si>
  <si>
    <t>ESZKÖZÖK</t>
  </si>
  <si>
    <t>Bruttó</t>
  </si>
  <si>
    <t xml:space="preserve">Könyv szerinti </t>
  </si>
  <si>
    <t xml:space="preserve">Becsült </t>
  </si>
  <si>
    <t>állományi érték</t>
  </si>
  <si>
    <t xml:space="preserve">A 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</si>
  <si>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</si>
  <si>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</si>
  <si>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</si>
  <si>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</si>
  <si>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</si>
  <si>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</si>
  <si>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</si>
  <si>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</si>
  <si>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Tiszavasvári Polgármesteri Hivatal</t>
  </si>
  <si>
    <t>Tiszavasvári Város Önkormányzat</t>
  </si>
  <si>
    <t>4.2</t>
  </si>
  <si>
    <t>4.3</t>
  </si>
  <si>
    <t>4.4</t>
  </si>
  <si>
    <t>4.5</t>
  </si>
  <si>
    <t>2.-ból EU-s támogatás</t>
  </si>
  <si>
    <t xml:space="preserve">Önkormányzat, Polgármesteri hivatal </t>
  </si>
  <si>
    <t>Intézmények (Polgármesteri Hivatal nélkül)</t>
  </si>
  <si>
    <t>Közhatalmi bevételek (4.1.+4.2.+4.3.)</t>
  </si>
  <si>
    <t>EFOP 3.2.9-16 pályázat keretében foglalkoztatottak létszáma (fő)</t>
  </si>
  <si>
    <t>2020.</t>
  </si>
  <si>
    <t>2020. után</t>
  </si>
  <si>
    <t>TÁJÉKOZTATÓ TÁBLA                 Forintban !</t>
  </si>
  <si>
    <t>Támogatás összge</t>
  </si>
  <si>
    <t xml:space="preserve">Sz-Sz-B-M-i Szilárdhulladék Társ. támogatása </t>
  </si>
  <si>
    <t>Olimpia Barátok Köre</t>
  </si>
  <si>
    <t>Tiszavasvári Egészségügyi Szolg. Kft.</t>
  </si>
  <si>
    <t>Tiszavasvári Egészségügyi Szolg. Kft. (saját tőke vissz.)</t>
  </si>
  <si>
    <t>Nyírvidék Kft. Támogatás</t>
  </si>
  <si>
    <t>Helyi adók  (4.1.1.+4.1.2.)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</si>
  <si>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</si>
  <si>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</t>
  </si>
  <si>
    <t>0</t>
  </si>
  <si>
    <t>Pénzkészlet 2017. január 1-én</t>
  </si>
  <si>
    <t>Záró pénzkészlet 2017. december 31-én</t>
  </si>
  <si>
    <r>
      <t>EU-s projekt neve, azonosítója:</t>
    </r>
    <r>
      <rPr>
        <sz val="12"/>
        <rFont val="Times New Roman"/>
        <family val="1"/>
        <charset val="238"/>
      </rPr>
      <t xml:space="preserve">* </t>
    </r>
  </si>
  <si>
    <t>Tiszavasvári Kabay-konyha rekonstrukciója ás agrárlogisztikai pont kialakítása                                                         TOP-1.1.3-15-SB1-2016-00033</t>
  </si>
  <si>
    <t>Tiszavasvári város környezetvédelmi-infrastruktura fejlesztése, lakóterület belvízmentesítése                             TOP-2.1.3-15-SB1-2016-00024</t>
  </si>
  <si>
    <t>A Nyíri Mezőség turisztikai kínálatának integrált fejlesztése - Természeti és kulturális vonzerők, termékcsomagok fejlesztése a Nyíri Mezőségben                                                                                                                                                          TOP-1.2.1-15-SB1-2016-00018</t>
  </si>
  <si>
    <t>A Váci Mihály Gimnázium épületének energetikai korszerűsítése                                                                                                             TOP-3.2.1-15-SB1-2016-00063</t>
  </si>
  <si>
    <t>Komplex energetikai fejlesztések Tiszavasváriban                                                                                                                                 TOP-3.2.2-15-SB1-2016-00012</t>
  </si>
  <si>
    <t>EFOP-3.2.9-16-2016-00062 A Tiszavasvári Járás közigazgatási területén található köznevelési intézményekben óvodai és iskolai szociális segítő tevékenység fejlesztése (Kornisné Liptay Elza Szociális és Gyermekjóléti Központ)</t>
  </si>
  <si>
    <t>Beruházási tartalék</t>
  </si>
  <si>
    <t>TSE TAO hitel 2017</t>
  </si>
  <si>
    <t>Tiszavasvári Egyesített Óvodai Intézmény Minimanó óvodájának részleges felújítása</t>
  </si>
  <si>
    <t>Komplex energetikai fejlesztés</t>
  </si>
  <si>
    <t>2018. évi</t>
  </si>
  <si>
    <t>2018. évi eredeti előirányzat</t>
  </si>
  <si>
    <t>2018.évi módosított előirányzat</t>
  </si>
  <si>
    <t>2018. évi teljesítés</t>
  </si>
  <si>
    <t>2018. évi módosított előirányzat</t>
  </si>
  <si>
    <t>2018 évi teljesítés</t>
  </si>
  <si>
    <t>Felhasználás 2017.12.31-ig</t>
  </si>
  <si>
    <t>Összes teljesítés 2018.12.31-ig</t>
  </si>
  <si>
    <t>2018.évi teljesítés</t>
  </si>
  <si>
    <t>2018. előtt</t>
  </si>
  <si>
    <t>2018. után</t>
  </si>
  <si>
    <t>Telj. %-a 2018. dec. 31-ig.</t>
  </si>
  <si>
    <t>Önkormányzaton kívüli EU-s projekthez 2018. évi hozzájárulás előirányzata és teljesítése</t>
  </si>
  <si>
    <t>Tiszavasvári Város Önkormányzata ASP központhoz való csatlakozása                                                                      KÖFOP-1.2.1-VEKOP-16-2018-00806</t>
  </si>
  <si>
    <t>2021.</t>
  </si>
  <si>
    <t>Adósságállomány alakulása lejárat, eszközök, bel- és külföldi hitelezők szerinti bontásban 2018. december 31-én</t>
  </si>
  <si>
    <t>Tervezett      2018</t>
  </si>
  <si>
    <t xml:space="preserve">Tényleges      2018 </t>
  </si>
  <si>
    <t>K I M U T A T Á S
a 2018. évben céljelleggel juttatott támogatásokról</t>
  </si>
  <si>
    <t>2018 év</t>
  </si>
  <si>
    <t>Tiszavasvári Város Önkormányzata tulajdonában álló gazdálkodó szervezetek működéséből származó kötelezettségek és részesedések alakulása a 2018. évben</t>
  </si>
  <si>
    <t>Tiszavasvári Város Önkormányzata 2018. évi saját bevételeinek részletezése</t>
  </si>
  <si>
    <t>2017. évi tény</t>
  </si>
  <si>
    <t>Hitel, kölcsön állomány 2018. dec. 31-én</t>
  </si>
  <si>
    <t>2019</t>
  </si>
  <si>
    <t>2020</t>
  </si>
  <si>
    <t>2.1 melléklet a ../.....(....) önkormányzati rendelethez</t>
  </si>
  <si>
    <t>2.2. melléklet a ../.....(....) önkormányzati rendelethez</t>
  </si>
  <si>
    <t>3.1. melléklet a ../.....(....) önkormányzati rendelethez</t>
  </si>
  <si>
    <t>4. melléklet a ../.....(....) önkormányzati rendelethez</t>
  </si>
  <si>
    <t>5.1. melléklet a ../.....(....) önkormányzati rendelethez</t>
  </si>
  <si>
    <t>5.2. melléklet a ../.....(....) önkormányzati rendelethez</t>
  </si>
  <si>
    <t>5.3. melléklet a ../.....(....) önkormányzati rendelethez</t>
  </si>
  <si>
    <t>5.4. melléklet a ../.....(....) önkormányzati rendelethez</t>
  </si>
  <si>
    <t>5.5. melléklet a ../.....(....) önkormányzati rendelethez</t>
  </si>
  <si>
    <t>5.6. melléklet a ../.....(....) önkormányzati rendelethez</t>
  </si>
  <si>
    <t>5.7. melléklet a ../.....(....) önkormányzati rendelethez</t>
  </si>
  <si>
    <t>6. melléklet a ../.....(....) önkormányzati rendelethez</t>
  </si>
  <si>
    <t>7.1. melléklet a ../.....(....) önkormányzati rendelethez</t>
  </si>
  <si>
    <t>7.2. melléklet a ../.....(....) önkormányzati rendelethez</t>
  </si>
  <si>
    <t>7.3. melléklet a ../.....(....) önkormányzati rendelethez</t>
  </si>
  <si>
    <t>7.4. melléklet a ../.....(....) önkormányzati rendelethez</t>
  </si>
  <si>
    <t>7.5. melléklet a ../.....(....) önkormányzati rendelethez</t>
  </si>
  <si>
    <t>7.6. melléklet a ../.....(....) önkormányzati rendelethez</t>
  </si>
  <si>
    <t>2. számú tájékoztató tábla a ../.....(....) önkormányzati rendelethez</t>
  </si>
  <si>
    <t>6.számú tájékoztató tábla a ../.....(....) önkormányzati rendelethez</t>
  </si>
  <si>
    <t>7. számú tájékoztató tábla a ../.....(....) önkormányzati rendelethez</t>
  </si>
  <si>
    <t>- Értékesítési és forgalmi adó</t>
  </si>
  <si>
    <t>Petőfi út járda terv, anyag, szolgáltatás</t>
  </si>
  <si>
    <t>Váci Mihály Gimn. energetikai korszerűsítés</t>
  </si>
  <si>
    <t>Zöldliget áramkiépítés</t>
  </si>
  <si>
    <t>Nyíri mezőség projekt</t>
  </si>
  <si>
    <t>Közúti jelzőtáblák</t>
  </si>
  <si>
    <t>Közvilágítási hálózatfejlesztés</t>
  </si>
  <si>
    <t>Tervek beszerzése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</si>
  <si>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</si>
  <si>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</si>
  <si>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</si>
  <si>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</si>
  <si>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</si>
  <si>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</si>
  <si>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</si>
  <si>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2018</t>
  </si>
  <si>
    <t>2017-2018</t>
  </si>
  <si>
    <t>Szennyvízbekötés (Temető utca)</t>
  </si>
  <si>
    <t>Szennyvízbekötés (Adria utca)</t>
  </si>
  <si>
    <t>Járóbeteg szakrendelére tárgyi eszköz beszerzés</t>
  </si>
  <si>
    <t>Mezőőri járulék nyilvántartó program beszerzés</t>
  </si>
  <si>
    <t>Mezőőr kamera állvány, 4 db vadkamera+akkumulátor, sátor és egyéb kisértékű tárgyi eszközök beszerzése</t>
  </si>
  <si>
    <t>Gyepmesteri telep (telekalakítás: 57.800, kút létesítés: 1.830.070)</t>
  </si>
  <si>
    <t>KEF kis értékű tárgyi eszköz beszerzés</t>
  </si>
  <si>
    <t>Esély otthon pályázat egyéb tárgyi eszköz beszerzés</t>
  </si>
  <si>
    <t>Humprey periméter, nyomtató, motoros műszerasztal</t>
  </si>
  <si>
    <t xml:space="preserve">Tiszavasvári Bethlen u. 1. és Bajcsy Zsilinszky u. 2. szám alatti ingatlanok megvásárlása </t>
  </si>
  <si>
    <t>egyéb tárgyi eszköz beszerzés (pl: festmény, függöny, klíma, bútor) Polg.Hiv.</t>
  </si>
  <si>
    <t>kis értékű informatikai eszközbeszerzés Polg.Hiv.</t>
  </si>
  <si>
    <t>ASP-hez eszközbeszerzés Polg.Hiv.</t>
  </si>
  <si>
    <t>számítógép beszerzésPolg.Hiv.</t>
  </si>
  <si>
    <t>Váci Mihály Gimn.energetikai korszerüsítése</t>
  </si>
  <si>
    <t>Varázsceruza Óvoda III. ütem felújítás</t>
  </si>
  <si>
    <t xml:space="preserve">Minimanó Óvoda melegvízellátó berendezés csere 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</si>
  <si>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</si>
  <si>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</si>
  <si>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</si>
  <si>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</si>
  <si>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</si>
  <si>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 és Ifjúság utca részleges felújítása</t>
  </si>
  <si>
    <t>Esély otthon pályázat ingatlan felújítás</t>
  </si>
  <si>
    <t>Kabay J. utca 23. mozgáskorlátozott WC kialakítás</t>
  </si>
  <si>
    <t>Minimanó Óvoda villámhárító felújítása</t>
  </si>
  <si>
    <t>Helyi adók  (4.1.1.+4.1.2.+4.1.3)</t>
  </si>
  <si>
    <t>- Értékesítési és forgalmi adók</t>
  </si>
  <si>
    <t>- Jövedelemadó</t>
  </si>
  <si>
    <t>Éves tervezett létszám előirányzat (fő)</t>
  </si>
  <si>
    <t>2021.után</t>
  </si>
  <si>
    <t>Varázsceruza Óvoda részleges felújítása III. ütem</t>
  </si>
  <si>
    <t>Minimanó óvoda elektromos felújítása kazáncsere, festés (nem került felvételre a hitel, 5.819.140 Ft)</t>
  </si>
  <si>
    <t>Gépállomás út 3. szám alatti ingatlan tetőszigetelése, nyílászáró cseréje</t>
  </si>
  <si>
    <t>Magiszter Alapítványi iskola tornatermének tetőfelújítása</t>
  </si>
  <si>
    <t>Kornisné Központ végleges engedély megszerzése miatti hitel</t>
  </si>
  <si>
    <t>TSK TAO felhalmozási célú hitel 2018</t>
  </si>
  <si>
    <t>TSE három TAO felhalmozási célú hitel 2018 (Nem került még a hitel lehívásra. - 22.202.197 Ft)</t>
  </si>
  <si>
    <t>Ingatlanvásárlási hitel 2018</t>
  </si>
  <si>
    <t>*:A hitelkeret 2018. december 28.-án lezárásra került.</t>
  </si>
  <si>
    <t>- irattári szekrény készítés</t>
  </si>
  <si>
    <t>-  2 db klíma beszerzése</t>
  </si>
  <si>
    <t>- 6 db forgószék beszerzése</t>
  </si>
  <si>
    <t>- szőnyeg vásárlás</t>
  </si>
  <si>
    <t>- egyéb kis értékű tárgyi eszközök beszerzése</t>
  </si>
  <si>
    <t>- laptop és nyomtató beszerzése</t>
  </si>
  <si>
    <t>2017</t>
  </si>
  <si>
    <t>- 6 db kártyaolvasó beszerzése</t>
  </si>
  <si>
    <t>- 1 db porszívó beszerzése</t>
  </si>
  <si>
    <t>- Sportpálya eredményjelző</t>
  </si>
  <si>
    <t>- Sportcsarnok alap szerszámkészlet beszerzése</t>
  </si>
  <si>
    <t>VÁROSI KINCSTÁR ÖSSZESEN:</t>
  </si>
  <si>
    <t>Tiszavasvári Egyesített Óvodai Intézmény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</si>
  <si>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</si>
  <si>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</si>
  <si>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</si>
  <si>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</si>
  <si>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</si>
  <si>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</si>
  <si>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ÓVODAI INTÉZMÉNY ÖSSZESEN:</t>
  </si>
  <si>
    <t>- zárható külső raktár létrehozására szolgáló szakipari falak besz.</t>
  </si>
  <si>
    <t>- 1 db kártyaolvasó beszerzése</t>
  </si>
  <si>
    <t>- MERABONA könyvállvány beszerzése (Könyvtár)</t>
  </si>
  <si>
    <t>- lamináló gép beszerzése (Könyvtár)</t>
  </si>
  <si>
    <t>- szerszámok beszerzése</t>
  </si>
  <si>
    <t>- 3 db vezetékes telefonkészülék beszerzése</t>
  </si>
  <si>
    <t>- egyéb kis értékű tárgyi eszközök (billentyűzet, egér, akkumulátor)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</si>
  <si>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</si>
  <si>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</si>
  <si>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</si>
  <si>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</si>
  <si>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- Könyvtári érdekeltségnövelő pályázatból könyvbeszerzés</t>
  </si>
  <si>
    <t>- könyvtári könyvek beszerzése SZJA ' %-ának felajánlásából</t>
  </si>
  <si>
    <t>- 10 db rendezvénysátor beszerzése</t>
  </si>
  <si>
    <t>- informatikai és egyéb kis értékű tárgyi eszközök beszerzése érdekeltségnövelő támogatás terhére</t>
  </si>
  <si>
    <t>- 1 db laptop beszerzése</t>
  </si>
  <si>
    <t>EKIK ÖSSZESEN: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</si>
  <si>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</si>
  <si>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</si>
  <si>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</si>
  <si>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</si>
  <si>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- óvodai és iskolai szociális munka beruházási kerete</t>
  </si>
  <si>
    <t>Család- és Gyermekjóléti Szolgálat</t>
  </si>
  <si>
    <t>- 1 db laptop beszerzése szoftverrel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</si>
  <si>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</si>
  <si>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</si>
  <si>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</si>
  <si>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</si>
  <si>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</si>
  <si>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- 1 db monitor beszerzése</t>
  </si>
  <si>
    <t>EFOP 3.2.9-16. pályázatból megvalósítandó beruházások</t>
  </si>
  <si>
    <t>Idős ellátás 1 db monitor beszerzése (iroda)</t>
  </si>
  <si>
    <t>Fogyatékos ellátás 1 db nyomtató beszerzése</t>
  </si>
  <si>
    <t>Bentlakásos ellátások beruházási keretösszege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</si>
  <si>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</si>
  <si>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</si>
  <si>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</si>
  <si>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</si>
  <si>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</si>
  <si>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</si>
  <si>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</si>
  <si>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</si>
  <si>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Varrógép beszerzése maradványból</t>
  </si>
  <si>
    <t>1 db fűkasza beszerzése</t>
  </si>
  <si>
    <t>Pénzszállító táska beszerzése</t>
  </si>
  <si>
    <t>KORNISNÉ KÖZPONT ÖSSZESEN:</t>
  </si>
  <si>
    <t>- spirálozó és lamináló gép beszerzése</t>
  </si>
  <si>
    <t>- konyhai eszközök beszerzése</t>
  </si>
  <si>
    <t>- bölcsődei textíliák beszerzése</t>
  </si>
  <si>
    <t>- Kormányhivatal által előírt eszközök beszerzése</t>
  </si>
  <si>
    <t>- beépített tároló szekrény és egyéb bútorok beszerzése</t>
  </si>
  <si>
    <t>- munkaruha beszerzése (kihordási idő &gt; 1 év)</t>
  </si>
  <si>
    <t>TISZAVASVÁRI BÖLCSŐDE ÖSSZESEN:</t>
  </si>
  <si>
    <t>INTÉZMÉNYEK MINDÖSSZESEN:</t>
  </si>
  <si>
    <t>Polgármesteri keret</t>
  </si>
  <si>
    <t>TISZATÉR támogatás</t>
  </si>
  <si>
    <t>LEADER támogatás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</si>
  <si>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</si>
  <si>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</si>
  <si>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</si>
  <si>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</si>
  <si>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Tiva-Szolg feladatellátási szerződés alapján támogatás</t>
  </si>
  <si>
    <t>Dr. Tolna Klári háziorvosi praxis műk.tám.</t>
  </si>
  <si>
    <t xml:space="preserve">BURSA </t>
  </si>
  <si>
    <t>Dr. Sveda Brigitta támogatás</t>
  </si>
  <si>
    <t>Tiva-Szolg köztemető üzemeltetési támogatás</t>
  </si>
  <si>
    <t>Magyar Vöröskereszt Tiszavasvári területi szervezete</t>
  </si>
  <si>
    <t>Tiszavasvári Városért Alapítvány</t>
  </si>
  <si>
    <t>EFOP-1.2.11-16-2017-00009 Esély és otthon - mindkettő lehetséges! Komplex beavatkozások megvalósítása a fiatalok elvándorlásának csökkentése érdekében Tiszavasváriban</t>
  </si>
  <si>
    <t>,</t>
  </si>
  <si>
    <t>5.8. melléklet a ../.....(....) önkormányzati rendelethez</t>
  </si>
  <si>
    <t>10. számú tájékoztató tábla a ../.....(....)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</si>
</sst>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\ &quot;Ft&quot;;[Red]\-#,##0\ &quot;Ft&quot;"/>
    <numFmt numFmtId="165" formatCode="_-* #,##0.00\ _F_t_-;\-* #,##0.00\ _F_t_-;_-* &quot;-&quot;??\ _F_t_-;_-@_-"/>
    <numFmt numFmtId="166" formatCode="_-* #,##0\ _F_t_-;\-* #,##0\ _F_t_-;_-* &quot;-&quot;??\ _F_t_-;_-@_-"/>
    <numFmt numFmtId="167" formatCode="#,##0.0"/>
    <numFmt numFmtId="168" formatCode="#,###"/>
    <numFmt numFmtId="169" formatCode="#"/>
    <numFmt numFmtId="170" formatCode="00"/>
    <numFmt numFmtId="171" formatCode="#,###\ _F_t;\-#,###\ _F_t"/>
    <numFmt numFmtId="172" formatCode="#,###__"/>
    <numFmt numFmtId="173" formatCode="#,###__;\-#,###__"/>
  </numFmts>
  <fonts count="100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family val="1"/>
      <charset val="238"/>
    </font>
    <font>
      <i/>
      <sz val="8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i/>
      <sz val="10"/>
      <name val="Times New Roman CE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b/>
      <i/>
      <sz val="9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6"/>
      <name val="Times New Roman CE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Arial"/>
      <family val="2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</font>
    <font>
      <b/>
      <sz val="12"/>
      <color indexed="10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1"/>
      <name val="Times New Roman CE"/>
      <family val="1"/>
      <charset val="238"/>
    </font>
    <font>
      <sz val="10"/>
      <name val="Wingdings"/>
      <charset val="2"/>
    </font>
    <font>
      <sz val="8"/>
      <color indexed="10"/>
      <name val="Times New Roman CE"/>
      <charset val="238"/>
    </font>
    <font>
      <sz val="10"/>
      <color indexed="10"/>
      <name val="Times New Roman CE"/>
      <charset val="238"/>
    </font>
    <font>
      <sz val="11"/>
      <color indexed="10"/>
      <name val="Times New Roman CE"/>
      <charset val="238"/>
    </font>
    <font>
      <b/>
      <sz val="11"/>
      <name val="Times New Roman CE"/>
      <charset val="238"/>
    </font>
    <font>
      <sz val="16"/>
      <color indexed="10"/>
      <name val="Times New Roman CE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8"/>
      <color indexed="10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8"/>
      <color theme="1"/>
      <name val="Times New Roman CE"/>
      <family val="1"/>
      <charset val="238"/>
    </font>
    <font>
      <sz val="11"/>
      <name val="Times New Roman CE"/>
      <charset val="238"/>
    </font>
    <font>
      <b/>
      <u/>
      <sz val="10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b/>
      <sz val="10"/>
      <color rgb="FFFF0000"/>
      <name val="Times New Roman CE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u/>
      <sz val="10"/>
      <name val="Times New Roman"/>
      <family val="1"/>
      <charset val="238"/>
    </font>
    <font>
      <sz val="10"/>
      <color rgb="FFFF0000"/>
      <name val="Times New Roman CE"/>
      <charset val="238"/>
    </font>
    <font>
      <b/>
      <sz val="10"/>
      <color rgb="FFFF0000"/>
      <name val="Times New Roman CE"/>
      <family val="1"/>
      <charset val="238"/>
    </font>
    <font>
      <sz val="8"/>
      <color theme="1"/>
      <name val="Times New Roman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lightHorizontal"/>
    </fill>
    <fill>
      <patternFill patternType="gray125">
        <bgColor indexed="47"/>
      </patternFill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2">
    <xf numFmtId="0" fontId="0" fillId="0" borderId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7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4" borderId="0" applyNumberFormat="0" applyBorder="0" applyAlignment="0" applyProtection="0"/>
    <xf numFmtId="0" fontId="31" fillId="7" borderId="0" applyNumberFormat="0" applyBorder="0" applyAlignment="0" applyProtection="0"/>
    <xf numFmtId="0" fontId="31" fillId="6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1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2" borderId="0" applyNumberFormat="0" applyBorder="0" applyAlignment="0" applyProtection="0"/>
    <xf numFmtId="0" fontId="32" fillId="5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45" fillId="18" borderId="0" applyNumberFormat="0" applyBorder="0" applyAlignment="0" applyProtection="0"/>
    <xf numFmtId="0" fontId="33" fillId="11" borderId="1" applyNumberFormat="0" applyAlignment="0" applyProtection="0"/>
    <xf numFmtId="0" fontId="47" fillId="19" borderId="1" applyNumberFormat="0" applyAlignment="0" applyProtection="0"/>
    <xf numFmtId="0" fontId="38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8" fillId="14" borderId="2" applyNumberFormat="0" applyAlignment="0" applyProtection="0"/>
    <xf numFmtId="0" fontId="43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15" fillId="0" borderId="0"/>
    <xf numFmtId="0" fontId="40" fillId="0" borderId="6" applyNumberFormat="0" applyFill="0" applyAlignment="0" applyProtection="0"/>
    <xf numFmtId="0" fontId="33" fillId="11" borderId="1" applyNumberFormat="0" applyAlignment="0" applyProtection="0"/>
    <xf numFmtId="0" fontId="24" fillId="6" borderId="7" applyNumberFormat="0" applyFont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41" fillId="20" borderId="0" applyNumberFormat="0" applyBorder="0" applyAlignment="0" applyProtection="0"/>
    <xf numFmtId="0" fontId="42" fillId="19" borderId="8" applyNumberFormat="0" applyAlignment="0" applyProtection="0"/>
    <xf numFmtId="0" fontId="40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46" fillId="11" borderId="0" applyNumberFormat="0" applyBorder="0" applyAlignment="0" applyProtection="0"/>
    <xf numFmtId="0" fontId="31" fillId="0" borderId="0"/>
    <xf numFmtId="0" fontId="24" fillId="0" borderId="0"/>
    <xf numFmtId="0" fontId="16" fillId="0" borderId="0"/>
    <xf numFmtId="0" fontId="26" fillId="0" borderId="0"/>
    <xf numFmtId="0" fontId="24" fillId="0" borderId="0"/>
    <xf numFmtId="0" fontId="24" fillId="0" borderId="0"/>
    <xf numFmtId="0" fontId="58" fillId="0" borderId="0"/>
    <xf numFmtId="0" fontId="24" fillId="0" borderId="0"/>
    <xf numFmtId="0" fontId="24" fillId="0" borderId="0"/>
    <xf numFmtId="0" fontId="24" fillId="6" borderId="7" applyNumberFormat="0" applyFont="0" applyAlignment="0" applyProtection="0"/>
    <xf numFmtId="0" fontId="42" fillId="19" borderId="8" applyNumberFormat="0" applyAlignment="0" applyProtection="0"/>
    <xf numFmtId="0" fontId="44" fillId="0" borderId="9" applyNumberFormat="0" applyFill="0" applyAlignment="0" applyProtection="0"/>
    <xf numFmtId="0" fontId="45" fillId="18" borderId="0" applyNumberFormat="0" applyBorder="0" applyAlignment="0" applyProtection="0"/>
    <xf numFmtId="0" fontId="46" fillId="11" borderId="0" applyNumberFormat="0" applyBorder="0" applyAlignment="0" applyProtection="0"/>
    <xf numFmtId="0" fontId="47" fillId="19" borderId="1" applyNumberFormat="0" applyAlignment="0" applyProtection="0"/>
    <xf numFmtId="0" fontId="34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316">
    <xf numFmtId="0" fontId="0" fillId="0" borderId="0" xfId="0"/>
    <xf numFmtId="0" fontId="10" fillId="0" borderId="10" xfId="102" applyFont="1" applyFill="1" applyBorder="1" applyAlignment="1" applyProtection="1">
      <alignment horizontal="center" vertical="center" wrapText="1"/>
    </xf>
    <xf numFmtId="0" fontId="10" fillId="0" borderId="11" xfId="102" applyFont="1" applyFill="1" applyBorder="1" applyAlignment="1" applyProtection="1">
      <alignment horizontal="center" vertical="center" wrapText="1"/>
    </xf>
    <xf numFmtId="0" fontId="10" fillId="0" borderId="12" xfId="102" applyFont="1" applyFill="1" applyBorder="1" applyAlignment="1" applyProtection="1">
      <alignment horizontal="left" vertical="center" wrapText="1" indent="1"/>
    </xf>
    <xf numFmtId="0" fontId="10" fillId="0" borderId="10" xfId="102" applyFont="1" applyFill="1" applyBorder="1" applyAlignment="1" applyProtection="1">
      <alignment horizontal="left" vertical="center" wrapText="1" indent="1"/>
    </xf>
    <xf numFmtId="0" fontId="10" fillId="0" borderId="11" xfId="102" applyFont="1" applyFill="1" applyBorder="1" applyAlignment="1" applyProtection="1">
      <alignment horizontal="left" vertical="center" wrapText="1" indent="1"/>
    </xf>
    <xf numFmtId="49" fontId="9" fillId="0" borderId="13" xfId="102" applyNumberFormat="1" applyFont="1" applyFill="1" applyBorder="1" applyAlignment="1" applyProtection="1">
      <alignment horizontal="left" vertical="center" wrapText="1" indent="1"/>
    </xf>
    <xf numFmtId="0" fontId="9" fillId="0" borderId="14" xfId="102" applyFont="1" applyFill="1" applyBorder="1" applyAlignment="1" applyProtection="1">
      <alignment horizontal="left" vertical="center" wrapText="1" indent="1"/>
    </xf>
    <xf numFmtId="49" fontId="9" fillId="0" borderId="15" xfId="102" applyNumberFormat="1" applyFont="1" applyFill="1" applyBorder="1" applyAlignment="1" applyProtection="1">
      <alignment horizontal="left" vertical="center" wrapText="1" indent="1"/>
    </xf>
    <xf numFmtId="0" fontId="9" fillId="0" borderId="16" xfId="102" applyFont="1" applyFill="1" applyBorder="1" applyAlignment="1" applyProtection="1">
      <alignment horizontal="left" vertical="center" wrapText="1" indent="1"/>
    </xf>
    <xf numFmtId="49" fontId="9" fillId="0" borderId="17" xfId="102" applyNumberFormat="1" applyFont="1" applyFill="1" applyBorder="1" applyAlignment="1" applyProtection="1">
      <alignment horizontal="left" vertical="center" wrapText="1" indent="1"/>
    </xf>
    <xf numFmtId="0" fontId="9" fillId="0" borderId="18" xfId="102" applyFont="1" applyFill="1" applyBorder="1" applyAlignment="1" applyProtection="1">
      <alignment horizontal="left" vertical="center" wrapText="1" indent="1"/>
    </xf>
    <xf numFmtId="49" fontId="9" fillId="0" borderId="19" xfId="102" applyNumberFormat="1" applyFont="1" applyFill="1" applyBorder="1" applyAlignment="1" applyProtection="1">
      <alignment horizontal="left" vertical="center" wrapText="1" indent="1"/>
    </xf>
    <xf numFmtId="49" fontId="9" fillId="0" borderId="20" xfId="102" applyNumberFormat="1" applyFont="1" applyFill="1" applyBorder="1" applyAlignment="1" applyProtection="1">
      <alignment horizontal="left" vertical="center" wrapText="1" indent="1"/>
    </xf>
    <xf numFmtId="0" fontId="9" fillId="0" borderId="21" xfId="102" applyFont="1" applyFill="1" applyBorder="1" applyAlignment="1" applyProtection="1">
      <alignment horizontal="left" vertical="center" wrapText="1" indent="1"/>
    </xf>
    <xf numFmtId="49" fontId="9" fillId="0" borderId="22" xfId="102" applyNumberFormat="1" applyFont="1" applyFill="1" applyBorder="1" applyAlignment="1" applyProtection="1">
      <alignment horizontal="left" vertical="center" wrapText="1" indent="1"/>
    </xf>
    <xf numFmtId="0" fontId="9" fillId="0" borderId="23" xfId="102" applyFont="1" applyFill="1" applyBorder="1" applyAlignment="1" applyProtection="1">
      <alignment horizontal="left" vertical="center" wrapText="1" indent="1"/>
    </xf>
    <xf numFmtId="0" fontId="9" fillId="0" borderId="0" xfId="102" applyFont="1" applyFill="1" applyBorder="1" applyAlignment="1" applyProtection="1">
      <alignment horizontal="left" vertical="center" wrapText="1" indent="1"/>
    </xf>
    <xf numFmtId="0" fontId="9" fillId="0" borderId="24" xfId="102" applyFont="1" applyFill="1" applyBorder="1" applyAlignment="1" applyProtection="1">
      <alignment horizontal="left" vertical="center" wrapText="1" indent="1"/>
    </xf>
    <xf numFmtId="0" fontId="10" fillId="0" borderId="11" xfId="102" applyFont="1" applyFill="1" applyBorder="1" applyAlignment="1" applyProtection="1">
      <alignment vertical="center" wrapText="1"/>
    </xf>
    <xf numFmtId="0" fontId="9" fillId="0" borderId="16" xfId="102" applyFont="1" applyFill="1" applyBorder="1" applyAlignment="1" applyProtection="1">
      <alignment horizontal="left" indent="6"/>
    </xf>
    <xf numFmtId="0" fontId="9" fillId="0" borderId="16" xfId="102" applyFont="1" applyFill="1" applyBorder="1" applyAlignment="1" applyProtection="1">
      <alignment horizontal="left" vertical="center" wrapText="1" indent="6"/>
    </xf>
    <xf numFmtId="0" fontId="9" fillId="0" borderId="24" xfId="102" applyFont="1" applyFill="1" applyBorder="1" applyAlignment="1" applyProtection="1">
      <alignment horizontal="left" vertical="center" wrapText="1" indent="6"/>
    </xf>
    <xf numFmtId="0" fontId="18" fillId="0" borderId="25" xfId="107" applyFont="1" applyFill="1" applyBorder="1" applyAlignment="1" applyProtection="1">
      <alignment horizontal="center" vertical="center" wrapText="1"/>
    </xf>
    <xf numFmtId="0" fontId="18" fillId="0" borderId="26" xfId="107" applyFont="1" applyFill="1" applyBorder="1" applyAlignment="1" applyProtection="1">
      <alignment horizontal="center" vertical="center" wrapText="1"/>
    </xf>
    <xf numFmtId="0" fontId="26" fillId="0" borderId="0" xfId="102" applyFill="1" applyProtection="1"/>
    <xf numFmtId="168" fontId="48" fillId="0" borderId="27" xfId="102" applyNumberFormat="1" applyFont="1" applyFill="1" applyBorder="1" applyAlignment="1" applyProtection="1">
      <alignment vertical="center"/>
    </xf>
    <xf numFmtId="0" fontId="49" fillId="0" borderId="27" xfId="107" applyFont="1" applyFill="1" applyBorder="1" applyAlignment="1" applyProtection="1">
      <alignment horizontal="right" vertical="center"/>
    </xf>
    <xf numFmtId="0" fontId="18" fillId="0" borderId="28" xfId="102" applyFont="1" applyFill="1" applyBorder="1" applyAlignment="1" applyProtection="1">
      <alignment horizontal="center" vertical="center" wrapText="1"/>
    </xf>
    <xf numFmtId="0" fontId="18" fillId="0" borderId="29" xfId="102" applyFont="1" applyFill="1" applyBorder="1" applyAlignment="1" applyProtection="1">
      <alignment horizontal="center" vertical="center" wrapText="1"/>
    </xf>
    <xf numFmtId="0" fontId="10" fillId="0" borderId="30" xfId="102" applyFont="1" applyFill="1" applyBorder="1" applyAlignment="1" applyProtection="1">
      <alignment horizontal="center" vertical="center" wrapText="1"/>
    </xf>
    <xf numFmtId="0" fontId="9" fillId="0" borderId="0" xfId="102" applyFont="1" applyFill="1" applyProtection="1"/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10" fillId="0" borderId="30" xfId="102" applyNumberFormat="1" applyFont="1" applyFill="1" applyBorder="1" applyAlignment="1" applyProtection="1">
      <alignment horizontal="right" vertical="center" wrapText="1" indent="1"/>
    </xf>
    <xf numFmtId="0" fontId="5" fillId="0" borderId="0" xfId="102" applyFont="1" applyFill="1" applyProtection="1"/>
    <xf numFmtId="0" fontId="53" fillId="0" borderId="18" xfId="107" applyFont="1" applyBorder="1" applyAlignment="1" applyProtection="1">
      <alignment horizontal="left" wrapText="1" indent="1"/>
    </xf>
    <xf numFmtId="168" fontId="9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6" xfId="107" applyFont="1" applyBorder="1" applyAlignment="1" applyProtection="1">
      <alignment horizontal="left" wrapText="1" indent="1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24" xfId="107" applyFont="1" applyBorder="1" applyAlignment="1" applyProtection="1">
      <alignment horizontal="left" wrapText="1" indent="1"/>
    </xf>
    <xf numFmtId="168" fontId="9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11" xfId="107" applyFont="1" applyBorder="1" applyAlignment="1" applyProtection="1">
      <alignment horizontal="left" vertical="center" wrapText="1" indent="1"/>
    </xf>
    <xf numFmtId="0" fontId="53" fillId="0" borderId="24" xfId="107" applyFont="1" applyBorder="1" applyAlignment="1" applyProtection="1">
      <alignment horizontal="left" vertical="center" wrapText="1" indent="1"/>
    </xf>
    <xf numFmtId="168" fontId="11" fillId="0" borderId="11" xfId="102" applyNumberFormat="1" applyFont="1" applyFill="1" applyBorder="1" applyAlignment="1" applyProtection="1">
      <alignment horizontal="right" vertical="center" wrapText="1" indent="1"/>
    </xf>
    <xf numFmtId="168" fontId="11" fillId="0" borderId="30" xfId="102" applyNumberFormat="1" applyFont="1" applyFill="1" applyBorder="1" applyAlignment="1" applyProtection="1">
      <alignment horizontal="right" vertical="center" wrapText="1" indent="1"/>
    </xf>
    <xf numFmtId="168" fontId="9" fillId="0" borderId="18" xfId="102" applyNumberFormat="1" applyFont="1" applyFill="1" applyBorder="1" applyAlignment="1" applyProtection="1">
      <alignment horizontal="right" vertical="center" wrapText="1" indent="1"/>
    </xf>
    <xf numFmtId="168" fontId="25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10" xfId="107" applyFont="1" applyBorder="1" applyAlignment="1" applyProtection="1">
      <alignment vertical="center" wrapText="1"/>
    </xf>
    <xf numFmtId="0" fontId="53" fillId="0" borderId="24" xfId="107" applyFont="1" applyBorder="1" applyAlignment="1" applyProtection="1">
      <alignment vertical="center" wrapText="1"/>
    </xf>
    <xf numFmtId="0" fontId="53" fillId="0" borderId="17" xfId="107" applyFont="1" applyBorder="1" applyAlignment="1" applyProtection="1">
      <alignment wrapText="1"/>
    </xf>
    <xf numFmtId="0" fontId="53" fillId="0" borderId="15" xfId="107" applyFont="1" applyBorder="1" applyAlignment="1" applyProtection="1">
      <alignment wrapText="1"/>
    </xf>
    <xf numFmtId="0" fontId="53" fillId="0" borderId="19" xfId="107" applyFont="1" applyBorder="1" applyAlignment="1" applyProtection="1">
      <alignment vertical="center" wrapText="1"/>
    </xf>
    <xf numFmtId="168" fontId="10" fillId="0" borderId="11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30" xfId="102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11" xfId="107" applyFont="1" applyBorder="1" applyAlignment="1" applyProtection="1">
      <alignment vertical="center" wrapText="1"/>
    </xf>
    <xf numFmtId="0" fontId="56" fillId="0" borderId="35" xfId="107" applyFont="1" applyBorder="1" applyAlignment="1" applyProtection="1">
      <alignment vertical="center" wrapText="1"/>
    </xf>
    <xf numFmtId="0" fontId="59" fillId="0" borderId="0" xfId="107" applyFont="1" applyBorder="1" applyAlignment="1" applyProtection="1">
      <alignment horizontal="left" vertical="center" wrapText="1" indent="1"/>
    </xf>
    <xf numFmtId="168" fontId="29" fillId="0" borderId="0" xfId="102" applyNumberFormat="1" applyFont="1" applyFill="1" applyBorder="1" applyAlignment="1" applyProtection="1">
      <alignment horizontal="right" vertical="center" wrapText="1" indent="1"/>
    </xf>
    <xf numFmtId="168" fontId="48" fillId="0" borderId="27" xfId="102" applyNumberFormat="1" applyFont="1" applyFill="1" applyBorder="1" applyAlignment="1" applyProtection="1"/>
    <xf numFmtId="0" fontId="49" fillId="0" borderId="27" xfId="107" applyFont="1" applyFill="1" applyBorder="1" applyAlignment="1" applyProtection="1">
      <alignment horizontal="right"/>
    </xf>
    <xf numFmtId="0" fontId="26" fillId="0" borderId="0" xfId="102" applyFill="1" applyAlignment="1" applyProtection="1"/>
    <xf numFmtId="0" fontId="10" fillId="0" borderId="36" xfId="102" applyFont="1" applyFill="1" applyBorder="1" applyAlignment="1" applyProtection="1">
      <alignment horizontal="center" vertical="center" wrapText="1"/>
    </xf>
    <xf numFmtId="0" fontId="10" fillId="0" borderId="25" xfId="102" applyFont="1" applyFill="1" applyBorder="1" applyAlignment="1" applyProtection="1">
      <alignment vertical="center" wrapText="1"/>
    </xf>
    <xf numFmtId="168" fontId="10" fillId="0" borderId="25" xfId="102" applyNumberFormat="1" applyFont="1" applyFill="1" applyBorder="1" applyAlignment="1" applyProtection="1">
      <alignment horizontal="right" vertical="center" wrapText="1" indent="1"/>
    </xf>
    <xf numFmtId="168" fontId="10" fillId="0" borderId="37" xfId="102" applyNumberFormat="1" applyFont="1" applyFill="1" applyBorder="1" applyAlignment="1" applyProtection="1">
      <alignment horizontal="right" vertical="center" wrapText="1" indent="1"/>
    </xf>
    <xf numFmtId="168" fontId="9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8" xfId="102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102" applyFont="1" applyFill="1" applyBorder="1" applyAlignment="1" applyProtection="1">
      <alignment horizontal="left" vertical="center" wrapText="1" indent="6"/>
    </xf>
    <xf numFmtId="168" fontId="9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9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6" xfId="107" applyFont="1" applyBorder="1" applyAlignment="1" applyProtection="1">
      <alignment horizontal="left" vertical="center" wrapText="1" indent="1"/>
    </xf>
    <xf numFmtId="0" fontId="9" fillId="0" borderId="18" xfId="102" applyFont="1" applyFill="1" applyBorder="1" applyAlignment="1" applyProtection="1">
      <alignment horizontal="left" vertical="center" wrapText="1" indent="6"/>
    </xf>
    <xf numFmtId="0" fontId="26" fillId="0" borderId="0" xfId="102" applyFill="1" applyAlignment="1" applyProtection="1">
      <alignment horizontal="left" vertical="center" indent="1"/>
    </xf>
    <xf numFmtId="0" fontId="11" fillId="0" borderId="11" xfId="102" applyFont="1" applyFill="1" applyBorder="1" applyAlignment="1" applyProtection="1">
      <alignment horizontal="left" vertical="center" wrapText="1" indent="1"/>
    </xf>
    <xf numFmtId="168" fontId="56" fillId="0" borderId="11" xfId="107" applyNumberFormat="1" applyFont="1" applyBorder="1" applyAlignment="1" applyProtection="1">
      <alignment horizontal="right" vertical="center" wrapText="1" indent="1"/>
    </xf>
    <xf numFmtId="168" fontId="56" fillId="0" borderId="30" xfId="107" applyNumberFormat="1" applyFont="1" applyBorder="1" applyAlignment="1" applyProtection="1">
      <alignment horizontal="right" vertical="center" wrapText="1" indent="1"/>
    </xf>
    <xf numFmtId="0" fontId="50" fillId="0" borderId="0" xfId="102" applyFont="1" applyFill="1" applyProtection="1"/>
    <xf numFmtId="0" fontId="51" fillId="0" borderId="0" xfId="102" applyFont="1" applyFill="1" applyProtection="1"/>
    <xf numFmtId="168" fontId="59" fillId="0" borderId="11" xfId="107" quotePrefix="1" applyNumberFormat="1" applyFont="1" applyBorder="1" applyAlignment="1" applyProtection="1">
      <alignment horizontal="right" vertical="center" wrapText="1" indent="1"/>
    </xf>
    <xf numFmtId="168" fontId="59" fillId="0" borderId="30" xfId="107" quotePrefix="1" applyNumberFormat="1" applyFont="1" applyBorder="1" applyAlignment="1" applyProtection="1">
      <alignment horizontal="right" vertical="center" wrapText="1" indent="1"/>
    </xf>
    <xf numFmtId="0" fontId="56" fillId="0" borderId="34" xfId="107" applyFont="1" applyBorder="1" applyAlignment="1" applyProtection="1">
      <alignment horizontal="left" vertical="center" wrapText="1" indent="1"/>
    </xf>
    <xf numFmtId="0" fontId="59" fillId="0" borderId="35" xfId="107" applyFont="1" applyBorder="1" applyAlignment="1" applyProtection="1">
      <alignment horizontal="left" vertical="center" wrapText="1" indent="1"/>
    </xf>
    <xf numFmtId="168" fontId="48" fillId="0" borderId="27" xfId="102" applyNumberFormat="1" applyFont="1" applyFill="1" applyBorder="1" applyAlignment="1" applyProtection="1">
      <alignment horizontal="left" vertical="center"/>
    </xf>
    <xf numFmtId="0" fontId="26" fillId="0" borderId="0" xfId="102" applyFont="1" applyFill="1" applyAlignment="1" applyProtection="1">
      <alignment horizontal="right" vertical="center" indent="1"/>
    </xf>
    <xf numFmtId="168" fontId="10" fillId="0" borderId="36" xfId="102" applyNumberFormat="1" applyFont="1" applyFill="1" applyBorder="1" applyAlignment="1" applyProtection="1">
      <alignment horizontal="right" vertical="center" wrapText="1" indent="1"/>
    </xf>
    <xf numFmtId="0" fontId="26" fillId="0" borderId="0" xfId="102" applyFont="1" applyFill="1" applyProtection="1"/>
    <xf numFmtId="168" fontId="24" fillId="0" borderId="0" xfId="107" applyNumberFormat="1" applyFill="1" applyAlignment="1" applyProtection="1">
      <alignment vertical="center" wrapText="1"/>
    </xf>
    <xf numFmtId="168" fontId="24" fillId="0" borderId="0" xfId="107" applyNumberFormat="1" applyFill="1" applyAlignment="1" applyProtection="1">
      <alignment horizontal="center" vertical="center" wrapText="1"/>
    </xf>
    <xf numFmtId="168" fontId="49" fillId="0" borderId="0" xfId="107" applyNumberFormat="1" applyFont="1" applyFill="1" applyAlignment="1" applyProtection="1">
      <alignment horizontal="right" vertical="center"/>
    </xf>
    <xf numFmtId="168" fontId="18" fillId="0" borderId="10" xfId="107" applyNumberFormat="1" applyFont="1" applyFill="1" applyBorder="1" applyAlignment="1" applyProtection="1">
      <alignment horizontal="centerContinuous" vertical="center" wrapText="1"/>
    </xf>
    <xf numFmtId="168" fontId="18" fillId="0" borderId="11" xfId="107" applyNumberFormat="1" applyFont="1" applyFill="1" applyBorder="1" applyAlignment="1" applyProtection="1">
      <alignment horizontal="centerContinuous" vertical="center" wrapText="1"/>
    </xf>
    <xf numFmtId="168" fontId="18" fillId="0" borderId="36" xfId="107" applyNumberFormat="1" applyFont="1" applyFill="1" applyBorder="1" applyAlignment="1" applyProtection="1">
      <alignment horizontal="centerContinuous" vertical="center" wrapText="1"/>
    </xf>
    <xf numFmtId="168" fontId="18" fillId="0" borderId="10" xfId="107" applyNumberFormat="1" applyFont="1" applyFill="1" applyBorder="1" applyAlignment="1" applyProtection="1">
      <alignment horizontal="center" vertical="center" wrapText="1"/>
    </xf>
    <xf numFmtId="168" fontId="18" fillId="0" borderId="11" xfId="107" applyNumberFormat="1" applyFont="1" applyFill="1" applyBorder="1" applyAlignment="1" applyProtection="1">
      <alignment horizontal="center" vertical="center" wrapText="1"/>
    </xf>
    <xf numFmtId="168" fontId="18" fillId="0" borderId="40" xfId="107" applyNumberFormat="1" applyFont="1" applyFill="1" applyBorder="1" applyAlignment="1" applyProtection="1">
      <alignment horizontal="center" vertical="center" wrapText="1"/>
    </xf>
    <xf numFmtId="168" fontId="18" fillId="0" borderId="36" xfId="107" applyNumberFormat="1" applyFont="1" applyFill="1" applyBorder="1" applyAlignment="1" applyProtection="1">
      <alignment horizontal="center" vertical="center" wrapText="1"/>
    </xf>
    <xf numFmtId="168" fontId="7" fillId="0" borderId="0" xfId="107" applyNumberFormat="1" applyFont="1" applyFill="1" applyAlignment="1" applyProtection="1">
      <alignment horizontal="center" vertical="center" wrapText="1"/>
    </xf>
    <xf numFmtId="168" fontId="11" fillId="0" borderId="41" xfId="107" applyNumberFormat="1" applyFont="1" applyFill="1" applyBorder="1" applyAlignment="1" applyProtection="1">
      <alignment horizontal="center" vertical="center" wrapText="1"/>
    </xf>
    <xf numFmtId="168" fontId="11" fillId="0" borderId="10" xfId="107" applyNumberFormat="1" applyFont="1" applyFill="1" applyBorder="1" applyAlignment="1" applyProtection="1">
      <alignment horizontal="center" vertical="center" wrapText="1"/>
    </xf>
    <xf numFmtId="168" fontId="11" fillId="0" borderId="11" xfId="107" applyNumberFormat="1" applyFont="1" applyFill="1" applyBorder="1" applyAlignment="1" applyProtection="1">
      <alignment horizontal="center" vertical="center" wrapText="1"/>
    </xf>
    <xf numFmtId="168" fontId="11" fillId="0" borderId="36" xfId="107" applyNumberFormat="1" applyFont="1" applyFill="1" applyBorder="1" applyAlignment="1" applyProtection="1">
      <alignment horizontal="center" vertical="center" wrapText="1"/>
    </xf>
    <xf numFmtId="168" fontId="11" fillId="0" borderId="0" xfId="107" applyNumberFormat="1" applyFont="1" applyFill="1" applyAlignment="1" applyProtection="1">
      <alignment horizontal="center" vertical="center" wrapText="1"/>
    </xf>
    <xf numFmtId="168" fontId="24" fillId="0" borderId="42" xfId="107" applyNumberFormat="1" applyFill="1" applyBorder="1" applyAlignment="1" applyProtection="1">
      <alignment horizontal="left" vertical="center" wrapText="1" indent="1"/>
    </xf>
    <xf numFmtId="168" fontId="9" fillId="0" borderId="17" xfId="107" applyNumberFormat="1" applyFont="1" applyFill="1" applyBorder="1" applyAlignment="1" applyProtection="1">
      <alignment horizontal="left" vertical="center" wrapText="1" indent="1"/>
    </xf>
    <xf numFmtId="168" fontId="24" fillId="0" borderId="44" xfId="107" applyNumberFormat="1" applyFill="1" applyBorder="1" applyAlignment="1" applyProtection="1">
      <alignment horizontal="left" vertical="center" wrapText="1" indent="1"/>
    </xf>
    <xf numFmtId="168" fontId="9" fillId="0" borderId="15" xfId="107" applyNumberFormat="1" applyFont="1" applyFill="1" applyBorder="1" applyAlignment="1" applyProtection="1">
      <alignment horizontal="left" vertical="center" wrapText="1" indent="1"/>
    </xf>
    <xf numFmtId="168" fontId="9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6" xfId="107" applyNumberFormat="1" applyFont="1" applyFill="1" applyBorder="1" applyAlignment="1" applyProtection="1">
      <alignment horizontal="left" vertical="center" wrapText="1" indent="1"/>
    </xf>
    <xf numFmtId="168" fontId="9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15" xfId="107" applyNumberFormat="1" applyFont="1" applyFill="1" applyBorder="1" applyAlignment="1" applyProtection="1">
      <alignment horizontal="left" vertical="center" wrapText="1" indent="1"/>
      <protection locked="0"/>
    </xf>
    <xf numFmtId="168" fontId="25" fillId="0" borderId="0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19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24" xfId="107" applyNumberFormat="1" applyFont="1" applyFill="1" applyBorder="1" applyAlignment="1" applyProtection="1">
      <alignment horizontal="right" vertical="center" wrapText="1" indent="1"/>
      <protection locked="0"/>
    </xf>
    <xf numFmtId="168" fontId="6" fillId="0" borderId="41" xfId="107" applyNumberFormat="1" applyFont="1" applyFill="1" applyBorder="1" applyAlignment="1" applyProtection="1">
      <alignment horizontal="left" vertical="center" wrapText="1" indent="1"/>
    </xf>
    <xf numFmtId="168" fontId="11" fillId="0" borderId="10" xfId="107" applyNumberFormat="1" applyFont="1" applyFill="1" applyBorder="1" applyAlignment="1" applyProtection="1">
      <alignment horizontal="left" vertical="center" wrapText="1" indent="1"/>
    </xf>
    <xf numFmtId="168" fontId="11" fillId="0" borderId="11" xfId="107" applyNumberFormat="1" applyFont="1" applyFill="1" applyBorder="1" applyAlignment="1" applyProtection="1">
      <alignment horizontal="right" vertical="center" wrapText="1" indent="1"/>
    </xf>
    <xf numFmtId="168" fontId="25" fillId="0" borderId="13" xfId="107" applyNumberFormat="1" applyFont="1" applyFill="1" applyBorder="1" applyAlignment="1" applyProtection="1">
      <alignment horizontal="left" vertical="center" wrapText="1" indent="1"/>
    </xf>
    <xf numFmtId="168" fontId="25" fillId="0" borderId="15" xfId="107" applyNumberFormat="1" applyFont="1" applyFill="1" applyBorder="1" applyAlignment="1" applyProtection="1">
      <alignment horizontal="left" vertical="center" wrapText="1" indent="1"/>
    </xf>
    <xf numFmtId="168" fontId="25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16" xfId="107" applyNumberFormat="1" applyFont="1" applyFill="1" applyBorder="1" applyAlignment="1" applyProtection="1">
      <alignment horizontal="right" vertical="center" wrapText="1" indent="1"/>
    </xf>
    <xf numFmtId="168" fontId="6" fillId="0" borderId="10" xfId="107" applyNumberFormat="1" applyFont="1" applyFill="1" applyBorder="1" applyAlignment="1" applyProtection="1">
      <alignment horizontal="left" vertical="center" wrapText="1" indent="1"/>
    </xf>
    <xf numFmtId="168" fontId="6" fillId="0" borderId="11" xfId="107" applyNumberFormat="1" applyFont="1" applyFill="1" applyBorder="1" applyAlignment="1" applyProtection="1">
      <alignment horizontal="right" vertical="center" wrapText="1" indent="1"/>
    </xf>
    <xf numFmtId="168" fontId="6" fillId="0" borderId="30" xfId="107" applyNumberFormat="1" applyFont="1" applyFill="1" applyBorder="1" applyAlignment="1" applyProtection="1">
      <alignment horizontal="right" vertical="center" wrapText="1" indent="1"/>
    </xf>
    <xf numFmtId="168" fontId="9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8" fontId="25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8" fontId="9" fillId="0" borderId="15" xfId="107" quotePrefix="1" applyNumberFormat="1" applyFont="1" applyFill="1" applyBorder="1" applyAlignment="1" applyProtection="1">
      <alignment horizontal="left" vertical="center" wrapText="1" indent="3"/>
      <protection locked="0"/>
    </xf>
    <xf numFmtId="168" fontId="24" fillId="0" borderId="49" xfId="107" applyNumberFormat="1" applyFill="1" applyBorder="1" applyAlignment="1" applyProtection="1">
      <alignment horizontal="left" vertical="center" wrapText="1" indent="1"/>
    </xf>
    <xf numFmtId="168" fontId="9" fillId="0" borderId="13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50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36" xfId="107" applyNumberFormat="1" applyFont="1" applyFill="1" applyBorder="1" applyAlignment="1" applyProtection="1">
      <alignment horizontal="right" vertical="center" wrapText="1" indent="1"/>
    </xf>
    <xf numFmtId="168" fontId="14" fillId="0" borderId="13" xfId="107" applyNumberFormat="1" applyFont="1" applyFill="1" applyBorder="1" applyAlignment="1" applyProtection="1">
      <alignment horizontal="left" vertical="center" wrapText="1" indent="1"/>
    </xf>
    <xf numFmtId="168" fontId="14" fillId="0" borderId="18" xfId="107" applyNumberFormat="1" applyFont="1" applyFill="1" applyBorder="1" applyAlignment="1" applyProtection="1">
      <alignment horizontal="right" vertical="center" wrapText="1" indent="1"/>
    </xf>
    <xf numFmtId="168" fontId="25" fillId="0" borderId="18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3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5" xfId="107" applyNumberFormat="1" applyFont="1" applyFill="1" applyBorder="1" applyAlignment="1" applyProtection="1">
      <alignment horizontal="left" vertical="center" wrapText="1" indent="2"/>
    </xf>
    <xf numFmtId="168" fontId="25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6" xfId="107" applyNumberFormat="1" applyFont="1" applyFill="1" applyBorder="1" applyAlignment="1" applyProtection="1">
      <alignment horizontal="left" vertical="center" wrapText="1" indent="2"/>
    </xf>
    <xf numFmtId="168" fontId="14" fillId="0" borderId="16" xfId="107" applyNumberFormat="1" applyFont="1" applyFill="1" applyBorder="1" applyAlignment="1" applyProtection="1">
      <alignment horizontal="left" vertical="center" wrapText="1" indent="1"/>
    </xf>
    <xf numFmtId="168" fontId="25" fillId="0" borderId="17" xfId="107" applyNumberFormat="1" applyFont="1" applyFill="1" applyBorder="1" applyAlignment="1" applyProtection="1">
      <alignment horizontal="left" vertical="center" wrapText="1" indent="1"/>
    </xf>
    <xf numFmtId="168" fontId="25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17" xfId="107" applyNumberFormat="1" applyFont="1" applyFill="1" applyBorder="1" applyAlignment="1" applyProtection="1">
      <alignment horizontal="left" vertical="center" wrapText="1" indent="2"/>
    </xf>
    <xf numFmtId="168" fontId="9" fillId="0" borderId="19" xfId="107" applyNumberFormat="1" applyFont="1" applyFill="1" applyBorder="1" applyAlignment="1" applyProtection="1">
      <alignment horizontal="left" vertical="center" wrapText="1" indent="2"/>
    </xf>
    <xf numFmtId="168" fontId="6" fillId="0" borderId="36" xfId="107" applyNumberFormat="1" applyFont="1" applyFill="1" applyBorder="1" applyAlignment="1" applyProtection="1">
      <alignment horizontal="right" vertical="center" wrapText="1" indent="1"/>
    </xf>
    <xf numFmtId="168" fontId="24" fillId="0" borderId="0" xfId="107" applyNumberFormat="1" applyFill="1" applyAlignment="1">
      <alignment vertical="center" wrapText="1"/>
    </xf>
    <xf numFmtId="0" fontId="18" fillId="0" borderId="11" xfId="107" applyFont="1" applyBorder="1" applyAlignment="1">
      <alignment horizontal="center" vertical="center" wrapText="1"/>
    </xf>
    <xf numFmtId="168" fontId="18" fillId="0" borderId="30" xfId="107" applyNumberFormat="1" applyFont="1" applyFill="1" applyBorder="1" applyAlignment="1" applyProtection="1">
      <alignment horizontal="center" vertical="center" wrapText="1"/>
    </xf>
    <xf numFmtId="168" fontId="7" fillId="0" borderId="0" xfId="107" applyNumberFormat="1" applyFont="1" applyFill="1" applyAlignment="1">
      <alignment horizontal="center" vertical="center" wrapText="1"/>
    </xf>
    <xf numFmtId="168" fontId="10" fillId="0" borderId="34" xfId="107" applyNumberFormat="1" applyFont="1" applyFill="1" applyBorder="1" applyAlignment="1" applyProtection="1">
      <alignment horizontal="center" vertical="center" wrapText="1"/>
    </xf>
    <xf numFmtId="168" fontId="10" fillId="0" borderId="35" xfId="107" applyNumberFormat="1" applyFont="1" applyFill="1" applyBorder="1" applyAlignment="1" applyProtection="1">
      <alignment horizontal="center" vertical="center" wrapText="1"/>
    </xf>
    <xf numFmtId="168" fontId="10" fillId="0" borderId="51" xfId="107" applyNumberFormat="1" applyFont="1" applyFill="1" applyBorder="1" applyAlignment="1" applyProtection="1">
      <alignment horizontal="center" vertical="center" wrapText="1"/>
    </xf>
    <xf numFmtId="168" fontId="10" fillId="0" borderId="52" xfId="107" applyNumberFormat="1" applyFont="1" applyFill="1" applyBorder="1" applyAlignment="1" applyProtection="1">
      <alignment horizontal="center" vertical="center" wrapText="1"/>
    </xf>
    <xf numFmtId="168" fontId="9" fillId="0" borderId="16" xfId="107" applyNumberFormat="1" applyFont="1" applyFill="1" applyBorder="1" applyAlignment="1" applyProtection="1">
      <alignment vertical="center" wrapText="1"/>
      <protection locked="0"/>
    </xf>
    <xf numFmtId="168" fontId="9" fillId="0" borderId="47" xfId="107" applyNumberFormat="1" applyFont="1" applyFill="1" applyBorder="1" applyAlignment="1" applyProtection="1">
      <alignment vertical="center" wrapText="1"/>
      <protection locked="0"/>
    </xf>
    <xf numFmtId="168" fontId="9" fillId="0" borderId="24" xfId="107" applyNumberFormat="1" applyFont="1" applyFill="1" applyBorder="1" applyAlignment="1" applyProtection="1">
      <alignment vertical="center" wrapText="1"/>
      <protection locked="0"/>
    </xf>
    <xf numFmtId="168" fontId="18" fillId="0" borderId="10" xfId="107" applyNumberFormat="1" applyFont="1" applyFill="1" applyBorder="1" applyAlignment="1" applyProtection="1">
      <alignment horizontal="left" vertical="center" wrapText="1"/>
    </xf>
    <xf numFmtId="168" fontId="10" fillId="0" borderId="11" xfId="107" applyNumberFormat="1" applyFont="1" applyFill="1" applyBorder="1" applyAlignment="1" applyProtection="1">
      <alignment vertical="center" wrapText="1"/>
    </xf>
    <xf numFmtId="168" fontId="10" fillId="21" borderId="11" xfId="107" applyNumberFormat="1" applyFont="1" applyFill="1" applyBorder="1" applyAlignment="1" applyProtection="1">
      <alignment vertical="center" wrapText="1"/>
    </xf>
    <xf numFmtId="168" fontId="10" fillId="0" borderId="36" xfId="107" applyNumberFormat="1" applyFont="1" applyFill="1" applyBorder="1" applyAlignment="1" applyProtection="1">
      <alignment vertical="center" wrapText="1"/>
    </xf>
    <xf numFmtId="168" fontId="7" fillId="0" borderId="0" xfId="107" applyNumberFormat="1" applyFont="1" applyFill="1" applyAlignment="1">
      <alignment vertical="center" wrapText="1"/>
    </xf>
    <xf numFmtId="168" fontId="24" fillId="0" borderId="0" xfId="107" applyNumberFormat="1" applyFill="1" applyAlignment="1">
      <alignment horizontal="center" vertical="center" wrapText="1"/>
    </xf>
    <xf numFmtId="0" fontId="8" fillId="0" borderId="0" xfId="107" applyNumberFormat="1" applyFont="1" applyFill="1" applyAlignment="1" applyProtection="1">
      <alignment textRotation="180" wrapText="1"/>
      <protection locked="0"/>
    </xf>
    <xf numFmtId="0" fontId="24" fillId="0" borderId="0" xfId="107" applyFill="1"/>
    <xf numFmtId="168" fontId="20" fillId="0" borderId="0" xfId="107" applyNumberFormat="1" applyFont="1" applyFill="1" applyAlignment="1">
      <alignment vertical="center" wrapText="1"/>
    </xf>
    <xf numFmtId="168" fontId="22" fillId="0" borderId="0" xfId="107" applyNumberFormat="1" applyFont="1" applyFill="1" applyAlignment="1" applyProtection="1">
      <alignment horizontal="left" vertical="center" wrapText="1"/>
    </xf>
    <xf numFmtId="168" fontId="17" fillId="0" borderId="0" xfId="107" applyNumberFormat="1" applyFont="1" applyFill="1" applyAlignment="1" applyProtection="1">
      <alignment vertical="center" wrapText="1"/>
    </xf>
    <xf numFmtId="0" fontId="60" fillId="0" borderId="0" xfId="107" applyFont="1" applyAlignment="1" applyProtection="1">
      <alignment horizontal="right" vertical="top"/>
    </xf>
    <xf numFmtId="0" fontId="60" fillId="0" borderId="0" xfId="107" applyFont="1" applyAlignment="1" applyProtection="1">
      <alignment horizontal="right" vertical="top"/>
      <protection locked="0"/>
    </xf>
    <xf numFmtId="168" fontId="22" fillId="0" borderId="0" xfId="107" applyNumberFormat="1" applyFont="1" applyFill="1" applyAlignment="1" applyProtection="1">
      <alignment vertical="center" wrapText="1"/>
    </xf>
    <xf numFmtId="0" fontId="18" fillId="0" borderId="55" xfId="107" applyFont="1" applyFill="1" applyBorder="1" applyAlignment="1" applyProtection="1">
      <alignment horizontal="center" vertical="center" wrapText="1"/>
    </xf>
    <xf numFmtId="0" fontId="18" fillId="0" borderId="63" xfId="107" quotePrefix="1" applyFont="1" applyFill="1" applyBorder="1" applyAlignment="1" applyProtection="1">
      <alignment horizontal="right" vertical="center" indent="1"/>
    </xf>
    <xf numFmtId="0" fontId="23" fillId="0" borderId="0" xfId="107" applyFont="1" applyFill="1" applyAlignment="1" applyProtection="1">
      <alignment vertical="center"/>
    </xf>
    <xf numFmtId="0" fontId="18" fillId="0" borderId="64" xfId="107" applyFont="1" applyFill="1" applyBorder="1" applyAlignment="1" applyProtection="1">
      <alignment horizontal="center" vertical="center" wrapText="1"/>
    </xf>
    <xf numFmtId="49" fontId="18" fillId="0" borderId="65" xfId="107" applyNumberFormat="1" applyFont="1" applyFill="1" applyBorder="1" applyAlignment="1" applyProtection="1">
      <alignment horizontal="right" vertical="center" indent="1"/>
    </xf>
    <xf numFmtId="0" fontId="18" fillId="0" borderId="0" xfId="107" applyFont="1" applyFill="1" applyAlignment="1" applyProtection="1">
      <alignment vertical="center"/>
    </xf>
    <xf numFmtId="0" fontId="49" fillId="0" borderId="0" xfId="107" applyFont="1" applyFill="1" applyAlignment="1" applyProtection="1">
      <alignment horizontal="right"/>
    </xf>
    <xf numFmtId="0" fontId="7" fillId="0" borderId="0" xfId="107" applyFont="1" applyFill="1" applyAlignment="1" applyProtection="1">
      <alignment vertical="center"/>
    </xf>
    <xf numFmtId="0" fontId="18" fillId="0" borderId="66" xfId="107" applyFont="1" applyFill="1" applyBorder="1" applyAlignment="1" applyProtection="1">
      <alignment horizontal="center" vertical="center" wrapText="1"/>
    </xf>
    <xf numFmtId="0" fontId="18" fillId="0" borderId="67" xfId="107" applyFont="1" applyFill="1" applyBorder="1" applyAlignment="1" applyProtection="1">
      <alignment horizontal="center" vertical="center" wrapText="1"/>
    </xf>
    <xf numFmtId="0" fontId="24" fillId="0" borderId="0" xfId="107" applyFill="1" applyAlignment="1" applyProtection="1">
      <alignment vertical="center" wrapText="1"/>
    </xf>
    <xf numFmtId="0" fontId="10" fillId="0" borderId="10" xfId="107" applyFont="1" applyFill="1" applyBorder="1" applyAlignment="1" applyProtection="1">
      <alignment horizontal="center" vertical="center" wrapText="1"/>
    </xf>
    <xf numFmtId="0" fontId="10" fillId="0" borderId="11" xfId="107" applyFont="1" applyFill="1" applyBorder="1" applyAlignment="1" applyProtection="1">
      <alignment horizontal="center" vertical="center" wrapText="1"/>
    </xf>
    <xf numFmtId="0" fontId="10" fillId="0" borderId="40" xfId="107" applyFont="1" applyFill="1" applyBorder="1" applyAlignment="1" applyProtection="1">
      <alignment horizontal="center" vertical="center" wrapText="1"/>
    </xf>
    <xf numFmtId="0" fontId="10" fillId="0" borderId="30" xfId="107" applyFont="1" applyFill="1" applyBorder="1" applyAlignment="1" applyProtection="1">
      <alignment horizontal="center" vertical="center" wrapText="1"/>
    </xf>
    <xf numFmtId="0" fontId="23" fillId="0" borderId="0" xfId="107" applyFont="1" applyFill="1" applyAlignment="1" applyProtection="1">
      <alignment horizontal="center" vertical="center" wrapText="1"/>
    </xf>
    <xf numFmtId="49" fontId="9" fillId="0" borderId="17" xfId="102" applyNumberFormat="1" applyFont="1" applyFill="1" applyBorder="1" applyAlignment="1" applyProtection="1">
      <alignment horizontal="center" vertical="center" wrapText="1"/>
    </xf>
    <xf numFmtId="0" fontId="20" fillId="0" borderId="0" xfId="107" applyFont="1" applyFill="1" applyAlignment="1" applyProtection="1">
      <alignment vertical="center" wrapText="1"/>
    </xf>
    <xf numFmtId="49" fontId="9" fillId="0" borderId="15" xfId="102" applyNumberFormat="1" applyFont="1" applyFill="1" applyBorder="1" applyAlignment="1" applyProtection="1">
      <alignment horizontal="center" vertical="center" wrapText="1"/>
    </xf>
    <xf numFmtId="0" fontId="19" fillId="0" borderId="0" xfId="107" applyFont="1" applyFill="1" applyAlignment="1" applyProtection="1">
      <alignment vertical="center" wrapText="1"/>
    </xf>
    <xf numFmtId="49" fontId="9" fillId="0" borderId="19" xfId="102" applyNumberFormat="1" applyFont="1" applyFill="1" applyBorder="1" applyAlignment="1" applyProtection="1">
      <alignment horizontal="center" vertical="center" wrapText="1"/>
    </xf>
    <xf numFmtId="0" fontId="56" fillId="0" borderId="10" xfId="107" applyFont="1" applyBorder="1" applyAlignment="1" applyProtection="1">
      <alignment horizontal="center" wrapText="1"/>
    </xf>
    <xf numFmtId="0" fontId="53" fillId="0" borderId="24" xfId="107" applyFont="1" applyBorder="1" applyAlignment="1" applyProtection="1">
      <alignment wrapText="1"/>
    </xf>
    <xf numFmtId="0" fontId="53" fillId="0" borderId="17" xfId="107" applyFont="1" applyBorder="1" applyAlignment="1" applyProtection="1">
      <alignment horizontal="center" wrapText="1"/>
    </xf>
    <xf numFmtId="0" fontId="53" fillId="0" borderId="15" xfId="107" applyFont="1" applyBorder="1" applyAlignment="1" applyProtection="1">
      <alignment horizontal="center" wrapText="1"/>
    </xf>
    <xf numFmtId="0" fontId="53" fillId="0" borderId="19" xfId="107" applyFont="1" applyBorder="1" applyAlignment="1" applyProtection="1">
      <alignment horizontal="center" wrapText="1"/>
    </xf>
    <xf numFmtId="0" fontId="56" fillId="0" borderId="11" xfId="107" applyFont="1" applyBorder="1" applyAlignment="1" applyProtection="1">
      <alignment wrapText="1"/>
    </xf>
    <xf numFmtId="0" fontId="56" fillId="0" borderId="34" xfId="107" applyFont="1" applyBorder="1" applyAlignment="1" applyProtection="1">
      <alignment horizontal="center" wrapText="1"/>
    </xf>
    <xf numFmtId="0" fontId="56" fillId="0" borderId="35" xfId="107" applyFont="1" applyBorder="1" applyAlignment="1" applyProtection="1">
      <alignment wrapText="1"/>
    </xf>
    <xf numFmtId="0" fontId="9" fillId="0" borderId="0" xfId="107" applyFont="1" applyFill="1" applyBorder="1" applyAlignment="1" applyProtection="1">
      <alignment horizontal="center" vertical="center" wrapText="1"/>
    </xf>
    <xf numFmtId="0" fontId="18" fillId="0" borderId="0" xfId="107" applyFont="1" applyFill="1" applyBorder="1" applyAlignment="1" applyProtection="1">
      <alignment horizontal="left" vertical="center" wrapText="1" indent="1"/>
    </xf>
    <xf numFmtId="168" fontId="10" fillId="0" borderId="0" xfId="107" applyNumberFormat="1" applyFont="1" applyFill="1" applyBorder="1" applyAlignment="1" applyProtection="1">
      <alignment horizontal="right" vertical="center" wrapText="1" indent="1"/>
    </xf>
    <xf numFmtId="0" fontId="9" fillId="0" borderId="0" xfId="107" applyFont="1" applyFill="1" applyAlignment="1" applyProtection="1">
      <alignment horizontal="left" vertical="center" wrapText="1"/>
    </xf>
    <xf numFmtId="0" fontId="9" fillId="0" borderId="0" xfId="107" applyFont="1" applyFill="1" applyAlignment="1" applyProtection="1">
      <alignment vertical="center" wrapText="1"/>
    </xf>
    <xf numFmtId="0" fontId="9" fillId="0" borderId="0" xfId="107" applyFont="1" applyFill="1" applyAlignment="1" applyProtection="1">
      <alignment horizontal="right" vertical="center" wrapText="1" indent="1"/>
    </xf>
    <xf numFmtId="0" fontId="10" fillId="0" borderId="12" xfId="102" applyFont="1" applyFill="1" applyBorder="1" applyAlignment="1" applyProtection="1">
      <alignment horizontal="center" vertical="center" wrapText="1"/>
    </xf>
    <xf numFmtId="168" fontId="10" fillId="0" borderId="67" xfId="102" applyNumberFormat="1" applyFont="1" applyFill="1" applyBorder="1" applyAlignment="1" applyProtection="1">
      <alignment horizontal="right" vertical="center" wrapText="1" indent="1"/>
    </xf>
    <xf numFmtId="0" fontId="12" fillId="0" borderId="0" xfId="107" applyFont="1" applyFill="1" applyAlignment="1" applyProtection="1">
      <alignment vertical="center" wrapText="1"/>
    </xf>
    <xf numFmtId="49" fontId="9" fillId="0" borderId="20" xfId="102" applyNumberFormat="1" applyFont="1" applyFill="1" applyBorder="1" applyAlignment="1" applyProtection="1">
      <alignment horizontal="center" vertical="center" wrapText="1"/>
    </xf>
    <xf numFmtId="168" fontId="9" fillId="0" borderId="6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5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8" xfId="102" applyNumberFormat="1" applyFont="1" applyFill="1" applyBorder="1" applyAlignment="1" applyProtection="1">
      <alignment horizontal="right" vertical="center" wrapText="1" indent="1"/>
      <protection locked="0"/>
    </xf>
    <xf numFmtId="49" fontId="9" fillId="0" borderId="13" xfId="102" applyNumberFormat="1" applyFont="1" applyFill="1" applyBorder="1" applyAlignment="1" applyProtection="1">
      <alignment horizontal="center" vertical="center" wrapText="1"/>
    </xf>
    <xf numFmtId="49" fontId="9" fillId="0" borderId="22" xfId="102" applyNumberFormat="1" applyFont="1" applyFill="1" applyBorder="1" applyAlignment="1" applyProtection="1">
      <alignment horizontal="center" vertical="center" wrapText="1"/>
    </xf>
    <xf numFmtId="168" fontId="9" fillId="0" borderId="29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43" xfId="102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36" xfId="102" applyNumberFormat="1" applyFont="1" applyFill="1" applyBorder="1" applyAlignment="1" applyProtection="1">
      <alignment horizontal="right" vertical="center" wrapText="1" indent="1"/>
    </xf>
    <xf numFmtId="16" fontId="24" fillId="0" borderId="0" xfId="107" applyNumberFormat="1" applyFill="1" applyAlignment="1" applyProtection="1">
      <alignment vertical="center" wrapText="1"/>
    </xf>
    <xf numFmtId="168" fontId="56" fillId="0" borderId="36" xfId="107" applyNumberFormat="1" applyFont="1" applyBorder="1" applyAlignment="1" applyProtection="1">
      <alignment horizontal="right" vertical="center" wrapText="1" indent="1"/>
    </xf>
    <xf numFmtId="168" fontId="59" fillId="0" borderId="36" xfId="107" quotePrefix="1" applyNumberFormat="1" applyFont="1" applyBorder="1" applyAlignment="1" applyProtection="1">
      <alignment horizontal="right" vertical="center" wrapText="1" indent="1"/>
    </xf>
    <xf numFmtId="0" fontId="56" fillId="0" borderId="34" xfId="107" applyFont="1" applyBorder="1" applyAlignment="1" applyProtection="1">
      <alignment horizontal="center" vertical="center" wrapText="1"/>
    </xf>
    <xf numFmtId="0" fontId="24" fillId="0" borderId="0" xfId="107" applyFont="1" applyFill="1" applyAlignment="1" applyProtection="1">
      <alignment horizontal="left" vertical="center" wrapText="1"/>
    </xf>
    <xf numFmtId="0" fontId="24" fillId="0" borderId="0" xfId="107" applyFont="1" applyFill="1" applyAlignment="1" applyProtection="1">
      <alignment vertical="center" wrapText="1"/>
    </xf>
    <xf numFmtId="0" fontId="24" fillId="0" borderId="0" xfId="107" applyFont="1" applyFill="1" applyAlignment="1" applyProtection="1">
      <alignment horizontal="right" vertical="center" wrapText="1" indent="1"/>
    </xf>
    <xf numFmtId="0" fontId="7" fillId="0" borderId="10" xfId="107" applyFont="1" applyFill="1" applyBorder="1" applyAlignment="1" applyProtection="1">
      <alignment horizontal="left" vertical="center"/>
    </xf>
    <xf numFmtId="0" fontId="7" fillId="0" borderId="40" xfId="107" applyFont="1" applyFill="1" applyBorder="1" applyAlignment="1" applyProtection="1">
      <alignment vertical="center" wrapText="1"/>
    </xf>
    <xf numFmtId="3" fontId="7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107" applyFont="1" applyAlignment="1" applyProtection="1">
      <alignment horizontal="right" vertical="top"/>
      <protection locked="0"/>
    </xf>
    <xf numFmtId="49" fontId="18" fillId="0" borderId="63" xfId="107" applyNumberFormat="1" applyFont="1" applyFill="1" applyBorder="1" applyAlignment="1" applyProtection="1">
      <alignment horizontal="right" vertical="center"/>
    </xf>
    <xf numFmtId="49" fontId="18" fillId="0" borderId="65" xfId="107" applyNumberFormat="1" applyFont="1" applyFill="1" applyBorder="1" applyAlignment="1" applyProtection="1">
      <alignment horizontal="right" vertical="center"/>
    </xf>
    <xf numFmtId="0" fontId="11" fillId="0" borderId="11" xfId="107" applyFont="1" applyFill="1" applyBorder="1" applyAlignment="1" applyProtection="1">
      <alignment horizontal="left" vertical="center" wrapText="1" indent="1"/>
    </xf>
    <xf numFmtId="168" fontId="11" fillId="0" borderId="30" xfId="107" applyNumberFormat="1" applyFont="1" applyFill="1" applyBorder="1" applyAlignment="1" applyProtection="1">
      <alignment horizontal="right" vertical="center" wrapText="1" indent="1"/>
    </xf>
    <xf numFmtId="49" fontId="25" fillId="0" borderId="20" xfId="107" applyNumberFormat="1" applyFont="1" applyFill="1" applyBorder="1" applyAlignment="1" applyProtection="1">
      <alignment horizontal="center" vertical="center" wrapText="1"/>
    </xf>
    <xf numFmtId="168" fontId="9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8" xfId="107" applyNumberFormat="1" applyFont="1" applyFill="1" applyBorder="1" applyAlignment="1" applyProtection="1">
      <alignment horizontal="right" vertical="center" wrapText="1" indent="1"/>
      <protection locked="0"/>
    </xf>
    <xf numFmtId="49" fontId="25" fillId="0" borderId="15" xfId="107" applyNumberFormat="1" applyFont="1" applyFill="1" applyBorder="1" applyAlignment="1" applyProtection="1">
      <alignment horizontal="center" vertical="center" wrapText="1"/>
    </xf>
    <xf numFmtId="168" fontId="9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7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0" xfId="107" applyFont="1" applyFill="1" applyBorder="1" applyAlignment="1" applyProtection="1">
      <alignment horizontal="center" vertical="center" wrapText="1"/>
    </xf>
    <xf numFmtId="168" fontId="11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49" fontId="25" fillId="0" borderId="17" xfId="107" applyNumberFormat="1" applyFont="1" applyFill="1" applyBorder="1" applyAlignment="1" applyProtection="1">
      <alignment horizontal="center" vertical="center" wrapText="1"/>
    </xf>
    <xf numFmtId="0" fontId="25" fillId="0" borderId="18" xfId="102" applyFont="1" applyFill="1" applyBorder="1" applyAlignment="1" applyProtection="1">
      <alignment horizontal="left" vertical="center" wrapText="1" indent="1"/>
    </xf>
    <xf numFmtId="168" fontId="25" fillId="0" borderId="31" xfId="107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6" xfId="102" applyFont="1" applyFill="1" applyBorder="1" applyAlignment="1" applyProtection="1">
      <alignment horizontal="left" vertical="center" wrapText="1" indent="1"/>
    </xf>
    <xf numFmtId="168" fontId="25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35" xfId="102" quotePrefix="1" applyFont="1" applyFill="1" applyBorder="1" applyAlignment="1" applyProtection="1">
      <alignment horizontal="left" vertical="center" wrapText="1" indent="1"/>
    </xf>
    <xf numFmtId="168" fontId="25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9" xfId="107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35" xfId="102" applyFont="1" applyFill="1" applyBorder="1" applyAlignment="1" applyProtection="1">
      <alignment horizontal="left" vertical="center" wrapText="1" indent="1"/>
    </xf>
    <xf numFmtId="0" fontId="56" fillId="0" borderId="10" xfId="107" applyFont="1" applyBorder="1" applyAlignment="1" applyProtection="1">
      <alignment horizontal="center" vertical="center" wrapText="1"/>
    </xf>
    <xf numFmtId="0" fontId="62" fillId="0" borderId="40" xfId="107" applyFont="1" applyBorder="1" applyAlignment="1" applyProtection="1">
      <alignment horizontal="left" wrapText="1" indent="1"/>
    </xf>
    <xf numFmtId="168" fontId="10" fillId="0" borderId="11" xfId="107" applyNumberFormat="1" applyFont="1" applyFill="1" applyBorder="1" applyAlignment="1" applyProtection="1">
      <alignment horizontal="right" vertical="center" wrapText="1" indent="1"/>
    </xf>
    <xf numFmtId="168" fontId="10" fillId="0" borderId="30" xfId="107" applyNumberFormat="1" applyFont="1" applyFill="1" applyBorder="1" applyAlignment="1" applyProtection="1">
      <alignment horizontal="right" vertical="center" wrapText="1" indent="1"/>
    </xf>
    <xf numFmtId="0" fontId="18" fillId="0" borderId="11" xfId="107" applyFont="1" applyFill="1" applyBorder="1" applyAlignment="1" applyProtection="1">
      <alignment horizontal="left" vertical="center" wrapText="1" indent="1"/>
    </xf>
    <xf numFmtId="0" fontId="24" fillId="0" borderId="0" xfId="107" applyFill="1" applyAlignment="1" applyProtection="1">
      <alignment horizontal="left" vertical="center" wrapText="1"/>
    </xf>
    <xf numFmtId="0" fontId="24" fillId="0" borderId="0" xfId="107" applyFill="1" applyAlignment="1" applyProtection="1">
      <alignment horizontal="right" vertical="center" wrapText="1" indent="1"/>
    </xf>
    <xf numFmtId="3" fontId="7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40" xfId="107" applyNumberFormat="1" applyFont="1" applyFill="1" applyBorder="1" applyAlignment="1" applyProtection="1">
      <alignment horizontal="right" vertical="center" wrapText="1" indent="1"/>
    </xf>
    <xf numFmtId="168" fontId="9" fillId="0" borderId="69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71" xfId="107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72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73" xfId="107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40" xfId="107" applyNumberFormat="1" applyFont="1" applyFill="1" applyBorder="1" applyAlignment="1" applyProtection="1">
      <alignment horizontal="right" vertical="center" wrapText="1" indent="1"/>
    </xf>
    <xf numFmtId="0" fontId="24" fillId="0" borderId="0" xfId="107" applyFill="1" applyAlignment="1" applyProtection="1">
      <alignment horizontal="center" vertical="center" wrapText="1"/>
    </xf>
    <xf numFmtId="0" fontId="18" fillId="0" borderId="11" xfId="107" applyFont="1" applyFill="1" applyBorder="1" applyAlignment="1" applyProtection="1">
      <alignment horizontal="center" vertical="center" wrapText="1"/>
    </xf>
    <xf numFmtId="0" fontId="18" fillId="0" borderId="36" xfId="107" applyFont="1" applyFill="1" applyBorder="1" applyAlignment="1" applyProtection="1">
      <alignment horizontal="center" vertical="center" wrapText="1"/>
    </xf>
    <xf numFmtId="0" fontId="7" fillId="0" borderId="0" xfId="107" applyFont="1" applyFill="1" applyAlignment="1" applyProtection="1">
      <alignment horizontal="center" vertical="center" wrapText="1"/>
    </xf>
    <xf numFmtId="0" fontId="10" fillId="0" borderId="36" xfId="107" applyFont="1" applyFill="1" applyBorder="1" applyAlignment="1" applyProtection="1">
      <alignment horizontal="center" vertical="center" wrapText="1"/>
    </xf>
    <xf numFmtId="0" fontId="9" fillId="0" borderId="17" xfId="107" applyFont="1" applyFill="1" applyBorder="1" applyAlignment="1" applyProtection="1">
      <alignment horizontal="right" vertical="center" wrapText="1" indent="1"/>
    </xf>
    <xf numFmtId="0" fontId="9" fillId="0" borderId="18" xfId="107" applyFont="1" applyFill="1" applyBorder="1" applyAlignment="1" applyProtection="1">
      <alignment horizontal="left" vertical="center" wrapText="1"/>
      <protection locked="0"/>
    </xf>
    <xf numFmtId="168" fontId="9" fillId="0" borderId="18" xfId="107" applyNumberFormat="1" applyFont="1" applyFill="1" applyBorder="1" applyAlignment="1" applyProtection="1">
      <alignment vertical="center" wrapText="1"/>
      <protection locked="0"/>
    </xf>
    <xf numFmtId="168" fontId="9" fillId="0" borderId="18" xfId="107" applyNumberFormat="1" applyFont="1" applyFill="1" applyBorder="1" applyAlignment="1" applyProtection="1">
      <alignment vertical="center" wrapText="1"/>
    </xf>
    <xf numFmtId="168" fontId="9" fillId="0" borderId="43" xfId="107" applyNumberFormat="1" applyFont="1" applyFill="1" applyBorder="1" applyAlignment="1" applyProtection="1">
      <alignment vertical="center" wrapText="1"/>
      <protection locked="0"/>
    </xf>
    <xf numFmtId="0" fontId="9" fillId="0" borderId="15" xfId="107" applyFont="1" applyFill="1" applyBorder="1" applyAlignment="1" applyProtection="1">
      <alignment horizontal="right" vertical="center" wrapText="1" indent="1"/>
    </xf>
    <xf numFmtId="0" fontId="9" fillId="0" borderId="16" xfId="107" applyFont="1" applyFill="1" applyBorder="1" applyAlignment="1" applyProtection="1">
      <alignment horizontal="left" vertical="center" wrapText="1"/>
      <protection locked="0"/>
    </xf>
    <xf numFmtId="168" fontId="9" fillId="0" borderId="45" xfId="107" applyNumberFormat="1" applyFont="1" applyFill="1" applyBorder="1" applyAlignment="1" applyProtection="1">
      <alignment vertical="center" wrapText="1"/>
      <protection locked="0"/>
    </xf>
    <xf numFmtId="0" fontId="9" fillId="0" borderId="24" xfId="107" applyFont="1" applyFill="1" applyBorder="1" applyAlignment="1" applyProtection="1">
      <alignment horizontal="left" vertical="center" wrapText="1"/>
      <protection locked="0"/>
    </xf>
    <xf numFmtId="168" fontId="9" fillId="0" borderId="48" xfId="107" applyNumberFormat="1" applyFont="1" applyFill="1" applyBorder="1" applyAlignment="1" applyProtection="1">
      <alignment vertical="center" wrapText="1"/>
      <protection locked="0"/>
    </xf>
    <xf numFmtId="168" fontId="24" fillId="0" borderId="0" xfId="107" applyNumberFormat="1" applyFill="1" applyAlignment="1" applyProtection="1">
      <alignment horizontal="center" vertical="center" wrapText="1"/>
      <protection locked="0"/>
    </xf>
    <xf numFmtId="168" fontId="24" fillId="0" borderId="0" xfId="107" applyNumberFormat="1" applyFill="1" applyAlignment="1" applyProtection="1">
      <alignment vertical="center" wrapText="1"/>
      <protection locked="0"/>
    </xf>
    <xf numFmtId="168" fontId="49" fillId="0" borderId="0" xfId="107" applyNumberFormat="1" applyFont="1" applyFill="1" applyAlignment="1" applyProtection="1">
      <alignment horizontal="right" vertical="center"/>
      <protection locked="0"/>
    </xf>
    <xf numFmtId="168" fontId="18" fillId="0" borderId="74" xfId="107" applyNumberFormat="1" applyFont="1" applyFill="1" applyBorder="1" applyAlignment="1" applyProtection="1">
      <alignment horizontal="centerContinuous" vertical="center"/>
    </xf>
    <xf numFmtId="168" fontId="18" fillId="0" borderId="75" xfId="107" applyNumberFormat="1" applyFont="1" applyFill="1" applyBorder="1" applyAlignment="1" applyProtection="1">
      <alignment horizontal="centerContinuous" vertical="center"/>
    </xf>
    <xf numFmtId="168" fontId="21" fillId="0" borderId="0" xfId="107" applyNumberFormat="1" applyFont="1" applyFill="1" applyAlignment="1">
      <alignment vertical="center"/>
    </xf>
    <xf numFmtId="168" fontId="18" fillId="0" borderId="51" xfId="107" applyNumberFormat="1" applyFont="1" applyFill="1" applyBorder="1" applyAlignment="1" applyProtection="1">
      <alignment horizontal="center" vertical="center"/>
    </xf>
    <xf numFmtId="168" fontId="18" fillId="0" borderId="76" xfId="107" applyNumberFormat="1" applyFont="1" applyFill="1" applyBorder="1" applyAlignment="1" applyProtection="1">
      <alignment horizontal="center" vertical="center"/>
    </xf>
    <xf numFmtId="168" fontId="21" fillId="0" borderId="0" xfId="107" applyNumberFormat="1" applyFont="1" applyFill="1" applyAlignment="1">
      <alignment horizontal="center" vertical="center"/>
    </xf>
    <xf numFmtId="168" fontId="10" fillId="0" borderId="11" xfId="107" applyNumberFormat="1" applyFont="1" applyFill="1" applyBorder="1" applyAlignment="1" applyProtection="1">
      <alignment horizontal="center" vertical="center" wrapText="1"/>
    </xf>
    <xf numFmtId="168" fontId="10" fillId="0" borderId="77" xfId="107" applyNumberFormat="1" applyFont="1" applyFill="1" applyBorder="1" applyAlignment="1" applyProtection="1">
      <alignment horizontal="center" vertical="center" wrapText="1"/>
    </xf>
    <xf numFmtId="168" fontId="10" fillId="0" borderId="49" xfId="107" applyNumberFormat="1" applyFont="1" applyFill="1" applyBorder="1" applyAlignment="1" applyProtection="1">
      <alignment horizontal="center" vertical="center" wrapText="1"/>
    </xf>
    <xf numFmtId="168" fontId="10" fillId="0" borderId="0" xfId="107" applyNumberFormat="1" applyFont="1" applyFill="1" applyAlignment="1">
      <alignment horizontal="center" vertical="center" wrapText="1"/>
    </xf>
    <xf numFmtId="1" fontId="5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9" fillId="0" borderId="44" xfId="107" applyNumberFormat="1" applyFont="1" applyFill="1" applyBorder="1" applyAlignment="1" applyProtection="1">
      <alignment vertical="center" wrapText="1"/>
    </xf>
    <xf numFmtId="1" fontId="6" fillId="21" borderId="16" xfId="107" applyNumberFormat="1" applyFont="1" applyFill="1" applyBorder="1" applyAlignment="1" applyProtection="1">
      <alignment horizontal="center" vertical="center" wrapText="1"/>
    </xf>
    <xf numFmtId="168" fontId="11" fillId="0" borderId="16" xfId="107" applyNumberFormat="1" applyFont="1" applyFill="1" applyBorder="1" applyAlignment="1" applyProtection="1">
      <alignment vertical="center" wrapText="1"/>
    </xf>
    <xf numFmtId="168" fontId="11" fillId="0" borderId="47" xfId="107" applyNumberFormat="1" applyFont="1" applyFill="1" applyBorder="1" applyAlignment="1" applyProtection="1">
      <alignment vertical="center" wrapText="1"/>
    </xf>
    <xf numFmtId="168" fontId="11" fillId="0" borderId="44" xfId="107" applyNumberFormat="1" applyFont="1" applyFill="1" applyBorder="1" applyAlignment="1" applyProtection="1">
      <alignment vertical="center" wrapText="1"/>
    </xf>
    <xf numFmtId="1" fontId="6" fillId="21" borderId="24" xfId="107" applyNumberFormat="1" applyFont="1" applyFill="1" applyBorder="1" applyAlignment="1" applyProtection="1">
      <alignment horizontal="center" vertical="center" wrapText="1"/>
    </xf>
    <xf numFmtId="168" fontId="11" fillId="0" borderId="14" xfId="107" applyNumberFormat="1" applyFont="1" applyFill="1" applyBorder="1" applyAlignment="1" applyProtection="1">
      <alignment vertical="center" wrapText="1"/>
    </xf>
    <xf numFmtId="168" fontId="11" fillId="0" borderId="50" xfId="107" applyNumberFormat="1" applyFont="1" applyFill="1" applyBorder="1" applyAlignment="1" applyProtection="1">
      <alignment vertical="center" wrapText="1"/>
    </xf>
    <xf numFmtId="1" fontId="9" fillId="21" borderId="77" xfId="107" applyNumberFormat="1" applyFont="1" applyFill="1" applyBorder="1" applyAlignment="1" applyProtection="1">
      <alignment vertical="center" wrapText="1"/>
    </xf>
    <xf numFmtId="168" fontId="20" fillId="0" borderId="0" xfId="107" applyNumberFormat="1" applyFont="1" applyFill="1" applyAlignment="1">
      <alignment horizontal="center" vertical="center" wrapText="1"/>
    </xf>
    <xf numFmtId="168" fontId="49" fillId="0" borderId="0" xfId="107" applyNumberFormat="1" applyFont="1" applyFill="1" applyAlignment="1">
      <alignment horizontal="right" vertical="center"/>
    </xf>
    <xf numFmtId="0" fontId="18" fillId="0" borderId="11" xfId="107" applyFont="1" applyFill="1" applyBorder="1" applyAlignment="1">
      <alignment horizontal="center" vertical="center" wrapText="1"/>
    </xf>
    <xf numFmtId="0" fontId="18" fillId="0" borderId="77" xfId="107" applyFont="1" applyFill="1" applyBorder="1" applyAlignment="1">
      <alignment horizontal="center" vertical="center" wrapText="1"/>
    </xf>
    <xf numFmtId="0" fontId="7" fillId="0" borderId="0" xfId="107" applyFont="1" applyFill="1" applyAlignment="1">
      <alignment horizontal="center" vertical="center" wrapText="1"/>
    </xf>
    <xf numFmtId="0" fontId="10" fillId="0" borderId="10" xfId="107" applyFont="1" applyFill="1" applyBorder="1" applyAlignment="1">
      <alignment horizontal="center" vertical="center" wrapText="1"/>
    </xf>
    <xf numFmtId="0" fontId="10" fillId="0" borderId="11" xfId="107" applyFont="1" applyFill="1" applyBorder="1" applyAlignment="1">
      <alignment horizontal="center" vertical="center" wrapText="1"/>
    </xf>
    <xf numFmtId="0" fontId="10" fillId="0" borderId="36" xfId="107" applyFont="1" applyFill="1" applyBorder="1" applyAlignment="1">
      <alignment horizontal="center" vertical="center" wrapText="1"/>
    </xf>
    <xf numFmtId="0" fontId="25" fillId="0" borderId="15" xfId="107" applyFont="1" applyFill="1" applyBorder="1" applyAlignment="1" applyProtection="1">
      <alignment horizontal="center" vertical="center"/>
    </xf>
    <xf numFmtId="0" fontId="25" fillId="0" borderId="16" xfId="107" applyFont="1" applyFill="1" applyBorder="1" applyAlignment="1" applyProtection="1">
      <alignment vertical="center" wrapText="1"/>
    </xf>
    <xf numFmtId="168" fontId="25" fillId="0" borderId="16" xfId="107" applyNumberFormat="1" applyFont="1" applyFill="1" applyBorder="1" applyAlignment="1" applyProtection="1">
      <alignment vertical="center"/>
      <protection locked="0"/>
    </xf>
    <xf numFmtId="168" fontId="25" fillId="0" borderId="47" xfId="107" applyNumberFormat="1" applyFont="1" applyFill="1" applyBorder="1" applyAlignment="1" applyProtection="1">
      <alignment vertical="center"/>
      <protection locked="0"/>
    </xf>
    <xf numFmtId="168" fontId="11" fillId="0" borderId="47" xfId="107" applyNumberFormat="1" applyFont="1" applyFill="1" applyBorder="1" applyAlignment="1" applyProtection="1">
      <alignment vertical="center"/>
    </xf>
    <xf numFmtId="168" fontId="11" fillId="0" borderId="45" xfId="107" applyNumberFormat="1" applyFont="1" applyFill="1" applyBorder="1" applyAlignment="1" applyProtection="1">
      <alignment vertical="center"/>
    </xf>
    <xf numFmtId="0" fontId="25" fillId="0" borderId="19" xfId="107" applyFont="1" applyFill="1" applyBorder="1" applyAlignment="1" applyProtection="1">
      <alignment horizontal="center" vertical="center"/>
    </xf>
    <xf numFmtId="0" fontId="25" fillId="0" borderId="24" xfId="107" applyFont="1" applyFill="1" applyBorder="1" applyAlignment="1" applyProtection="1">
      <alignment vertical="center" wrapText="1"/>
    </xf>
    <xf numFmtId="168" fontId="25" fillId="0" borderId="24" xfId="107" applyNumberFormat="1" applyFont="1" applyFill="1" applyBorder="1" applyAlignment="1" applyProtection="1">
      <alignment vertical="center"/>
      <protection locked="0"/>
    </xf>
    <xf numFmtId="168" fontId="25" fillId="0" borderId="78" xfId="107" applyNumberFormat="1" applyFont="1" applyFill="1" applyBorder="1" applyAlignment="1" applyProtection="1">
      <alignment vertical="center"/>
      <protection locked="0"/>
    </xf>
    <xf numFmtId="0" fontId="25" fillId="0" borderId="22" xfId="107" applyFont="1" applyFill="1" applyBorder="1" applyAlignment="1" applyProtection="1">
      <alignment horizontal="center" vertical="center"/>
    </xf>
    <xf numFmtId="0" fontId="25" fillId="0" borderId="28" xfId="107" applyFont="1" applyFill="1" applyBorder="1" applyAlignment="1" applyProtection="1">
      <alignment vertical="center" wrapText="1"/>
    </xf>
    <xf numFmtId="168" fontId="25" fillId="0" borderId="28" xfId="107" applyNumberFormat="1" applyFont="1" applyFill="1" applyBorder="1" applyAlignment="1" applyProtection="1">
      <alignment vertical="center"/>
      <protection locked="0"/>
    </xf>
    <xf numFmtId="168" fontId="25" fillId="0" borderId="76" xfId="107" applyNumberFormat="1" applyFont="1" applyFill="1" applyBorder="1" applyAlignment="1" applyProtection="1">
      <alignment vertical="center"/>
      <protection locked="0"/>
    </xf>
    <xf numFmtId="168" fontId="11" fillId="0" borderId="11" xfId="107" applyNumberFormat="1" applyFont="1" applyFill="1" applyBorder="1" applyAlignment="1" applyProtection="1">
      <alignment vertical="center"/>
    </xf>
    <xf numFmtId="168" fontId="11" fillId="0" borderId="77" xfId="107" applyNumberFormat="1" applyFont="1" applyFill="1" applyBorder="1" applyAlignment="1" applyProtection="1">
      <alignment vertical="center"/>
    </xf>
    <xf numFmtId="168" fontId="11" fillId="0" borderId="36" xfId="107" applyNumberFormat="1" applyFont="1" applyFill="1" applyBorder="1" applyAlignment="1" applyProtection="1">
      <alignment vertical="center"/>
    </xf>
    <xf numFmtId="168" fontId="11" fillId="0" borderId="29" xfId="107" applyNumberFormat="1" applyFont="1" applyFill="1" applyBorder="1" applyAlignment="1" applyProtection="1">
      <alignment vertical="center"/>
    </xf>
    <xf numFmtId="168" fontId="29" fillId="0" borderId="11" xfId="107" applyNumberFormat="1" applyFont="1" applyFill="1" applyBorder="1" applyAlignment="1" applyProtection="1">
      <alignment vertical="center"/>
    </xf>
    <xf numFmtId="0" fontId="18" fillId="0" borderId="10" xfId="107" applyFont="1" applyFill="1" applyBorder="1" applyAlignment="1">
      <alignment horizontal="center" vertical="center" wrapText="1"/>
    </xf>
    <xf numFmtId="0" fontId="18" fillId="0" borderId="36" xfId="107" applyFont="1" applyFill="1" applyBorder="1" applyAlignment="1">
      <alignment horizontal="center" vertical="center" wrapText="1"/>
    </xf>
    <xf numFmtId="0" fontId="52" fillId="0" borderId="10" xfId="107" applyFont="1" applyFill="1" applyBorder="1" applyAlignment="1">
      <alignment horizontal="center" vertical="center" wrapText="1"/>
    </xf>
    <xf numFmtId="0" fontId="52" fillId="0" borderId="11" xfId="107" applyFont="1" applyFill="1" applyBorder="1" applyAlignment="1">
      <alignment horizontal="center" vertical="center" wrapText="1"/>
    </xf>
    <xf numFmtId="0" fontId="52" fillId="0" borderId="36" xfId="107" applyFont="1" applyFill="1" applyBorder="1" applyAlignment="1">
      <alignment horizontal="center" vertical="center" wrapText="1"/>
    </xf>
    <xf numFmtId="0" fontId="25" fillId="0" borderId="17" xfId="107" applyFont="1" applyFill="1" applyBorder="1" applyAlignment="1" applyProtection="1">
      <alignment horizontal="right" vertical="center" wrapText="1" indent="1"/>
    </xf>
    <xf numFmtId="0" fontId="53" fillId="0" borderId="72" xfId="107" applyFont="1" applyFill="1" applyBorder="1" applyAlignment="1" applyProtection="1">
      <alignment horizontal="left" vertical="center" wrapText="1" indent="1"/>
      <protection locked="0"/>
    </xf>
    <xf numFmtId="168" fontId="25" fillId="0" borderId="18" xfId="107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43" xfId="107" applyNumberFormat="1" applyFont="1" applyFill="1" applyBorder="1" applyAlignment="1" applyProtection="1">
      <alignment horizontal="right" vertical="center" wrapText="1" indent="2"/>
      <protection locked="0"/>
    </xf>
    <xf numFmtId="0" fontId="24" fillId="0" borderId="0" xfId="107" applyFill="1" applyAlignment="1">
      <alignment vertical="center" wrapText="1"/>
    </xf>
    <xf numFmtId="0" fontId="25" fillId="0" borderId="15" xfId="107" applyFont="1" applyFill="1" applyBorder="1" applyAlignment="1" applyProtection="1">
      <alignment horizontal="right" vertical="center" wrapText="1" indent="1"/>
    </xf>
    <xf numFmtId="0" fontId="53" fillId="0" borderId="23" xfId="107" applyFont="1" applyFill="1" applyBorder="1" applyAlignment="1" applyProtection="1">
      <alignment horizontal="left" vertical="center" wrapText="1" indent="1"/>
      <protection locked="0"/>
    </xf>
    <xf numFmtId="168" fontId="25" fillId="0" borderId="16" xfId="107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45" xfId="107" applyNumberFormat="1" applyFont="1" applyFill="1" applyBorder="1" applyAlignment="1" applyProtection="1">
      <alignment horizontal="right" vertical="center" wrapText="1" indent="2"/>
      <protection locked="0"/>
    </xf>
    <xf numFmtId="0" fontId="25" fillId="0" borderId="15" xfId="107" applyFont="1" applyFill="1" applyBorder="1" applyAlignment="1">
      <alignment horizontal="right" vertical="center" wrapText="1" indent="1"/>
    </xf>
    <xf numFmtId="0" fontId="53" fillId="0" borderId="23" xfId="107" applyFont="1" applyFill="1" applyBorder="1" applyAlignment="1" applyProtection="1">
      <alignment horizontal="left" vertical="center" wrapText="1" indent="8"/>
      <protection locked="0"/>
    </xf>
    <xf numFmtId="0" fontId="25" fillId="0" borderId="16" xfId="107" applyFont="1" applyFill="1" applyBorder="1" applyAlignment="1" applyProtection="1">
      <alignment vertical="center" wrapText="1"/>
      <protection locked="0"/>
    </xf>
    <xf numFmtId="0" fontId="25" fillId="0" borderId="22" xfId="107" applyFont="1" applyFill="1" applyBorder="1" applyAlignment="1">
      <alignment horizontal="right" vertical="center" wrapText="1" indent="1"/>
    </xf>
    <xf numFmtId="0" fontId="25" fillId="0" borderId="28" xfId="107" applyFont="1" applyFill="1" applyBorder="1" applyAlignment="1" applyProtection="1">
      <alignment vertical="center" wrapText="1"/>
      <protection locked="0"/>
    </xf>
    <xf numFmtId="168" fontId="25" fillId="0" borderId="28" xfId="107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29" xfId="107" applyNumberFormat="1" applyFont="1" applyFill="1" applyBorder="1" applyAlignment="1" applyProtection="1">
      <alignment horizontal="right" vertical="center" wrapText="1" indent="2"/>
      <protection locked="0"/>
    </xf>
    <xf numFmtId="0" fontId="11" fillId="0" borderId="10" xfId="107" applyFont="1" applyFill="1" applyBorder="1" applyAlignment="1">
      <alignment horizontal="right" vertical="center" wrapText="1" indent="1"/>
    </xf>
    <xf numFmtId="0" fontId="11" fillId="0" borderId="11" xfId="107" applyFont="1" applyFill="1" applyBorder="1" applyAlignment="1">
      <alignment vertical="center" wrapText="1"/>
    </xf>
    <xf numFmtId="168" fontId="11" fillId="0" borderId="11" xfId="107" applyNumberFormat="1" applyFont="1" applyFill="1" applyBorder="1" applyAlignment="1">
      <alignment horizontal="right" vertical="center" wrapText="1" indent="2"/>
    </xf>
    <xf numFmtId="168" fontId="11" fillId="0" borderId="36" xfId="107" applyNumberFormat="1" applyFont="1" applyFill="1" applyBorder="1" applyAlignment="1">
      <alignment horizontal="right" vertical="center" wrapText="1" indent="2"/>
    </xf>
    <xf numFmtId="0" fontId="24" fillId="0" borderId="0" xfId="107" applyFill="1" applyAlignment="1">
      <alignment horizontal="right" vertical="center" wrapText="1"/>
    </xf>
    <xf numFmtId="0" fontId="24" fillId="0" borderId="0" xfId="107" applyFill="1" applyAlignment="1">
      <alignment horizontal="center" vertical="center" wrapText="1"/>
    </xf>
    <xf numFmtId="0" fontId="58" fillId="0" borderId="0" xfId="105" applyFill="1" applyProtection="1"/>
    <xf numFmtId="0" fontId="64" fillId="0" borderId="0" xfId="105" applyFont="1" applyFill="1" applyProtection="1"/>
    <xf numFmtId="0" fontId="30" fillId="0" borderId="25" xfId="104" applyFont="1" applyFill="1" applyBorder="1" applyAlignment="1" applyProtection="1">
      <alignment horizontal="center" vertical="center" textRotation="90"/>
    </xf>
    <xf numFmtId="0" fontId="54" fillId="0" borderId="22" xfId="105" applyFont="1" applyFill="1" applyBorder="1" applyAlignment="1" applyProtection="1">
      <alignment horizontal="center" vertical="center" wrapText="1"/>
    </xf>
    <xf numFmtId="0" fontId="54" fillId="0" borderId="28" xfId="105" applyFont="1" applyFill="1" applyBorder="1" applyAlignment="1" applyProtection="1">
      <alignment horizontal="center" vertical="center" wrapText="1"/>
    </xf>
    <xf numFmtId="0" fontId="54" fillId="0" borderId="29" xfId="105" applyFont="1" applyFill="1" applyBorder="1" applyAlignment="1" applyProtection="1">
      <alignment horizontal="center" vertical="center" wrapText="1"/>
    </xf>
    <xf numFmtId="0" fontId="58" fillId="0" borderId="0" xfId="105" applyFill="1" applyAlignment="1" applyProtection="1">
      <alignment horizontal="center" vertical="center"/>
    </xf>
    <xf numFmtId="0" fontId="56" fillId="0" borderId="20" xfId="105" applyFont="1" applyFill="1" applyBorder="1" applyAlignment="1" applyProtection="1">
      <alignment vertical="center" wrapText="1"/>
    </xf>
    <xf numFmtId="170" fontId="9" fillId="0" borderId="21" xfId="104" applyNumberFormat="1" applyFont="1" applyFill="1" applyBorder="1" applyAlignment="1" applyProtection="1">
      <alignment horizontal="center" vertical="center"/>
    </xf>
    <xf numFmtId="173" fontId="67" fillId="0" borderId="21" xfId="105" applyNumberFormat="1" applyFont="1" applyFill="1" applyBorder="1" applyAlignment="1" applyProtection="1">
      <alignment horizontal="right" vertical="center" wrapText="1"/>
      <protection locked="0"/>
    </xf>
    <xf numFmtId="173" fontId="67" fillId="0" borderId="63" xfId="105" applyNumberFormat="1" applyFont="1" applyFill="1" applyBorder="1" applyAlignment="1" applyProtection="1">
      <alignment horizontal="right" vertical="center" wrapText="1"/>
      <protection locked="0"/>
    </xf>
    <xf numFmtId="0" fontId="58" fillId="0" borderId="0" xfId="105" applyFill="1" applyAlignment="1" applyProtection="1">
      <alignment vertical="center"/>
    </xf>
    <xf numFmtId="0" fontId="56" fillId="0" borderId="15" xfId="105" applyFont="1" applyFill="1" applyBorder="1" applyAlignment="1" applyProtection="1">
      <alignment vertical="center" wrapText="1"/>
    </xf>
    <xf numFmtId="170" fontId="9" fillId="0" borderId="16" xfId="104" applyNumberFormat="1" applyFont="1" applyFill="1" applyBorder="1" applyAlignment="1" applyProtection="1">
      <alignment horizontal="center" vertical="center"/>
    </xf>
    <xf numFmtId="173" fontId="67" fillId="0" borderId="16" xfId="105" applyNumberFormat="1" applyFont="1" applyFill="1" applyBorder="1" applyAlignment="1" applyProtection="1">
      <alignment horizontal="right" vertical="center" wrapText="1"/>
    </xf>
    <xf numFmtId="0" fontId="68" fillId="0" borderId="15" xfId="105" applyFont="1" applyFill="1" applyBorder="1" applyAlignment="1" applyProtection="1">
      <alignment horizontal="left" vertical="center" wrapText="1" indent="1"/>
    </xf>
    <xf numFmtId="173" fontId="69" fillId="0" borderId="45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45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16" xfId="105" applyNumberFormat="1" applyFont="1" applyFill="1" applyBorder="1" applyAlignment="1" applyProtection="1">
      <alignment horizontal="right" vertical="center" wrapText="1"/>
    </xf>
    <xf numFmtId="173" fontId="53" fillId="0" borderId="45" xfId="105" applyNumberFormat="1" applyFont="1" applyFill="1" applyBorder="1" applyAlignment="1" applyProtection="1">
      <alignment horizontal="right" vertical="center" wrapText="1"/>
    </xf>
    <xf numFmtId="0" fontId="56" fillId="0" borderId="22" xfId="105" applyFont="1" applyFill="1" applyBorder="1" applyAlignment="1" applyProtection="1">
      <alignment vertical="center" wrapText="1"/>
    </xf>
    <xf numFmtId="170" fontId="9" fillId="0" borderId="28" xfId="104" applyNumberFormat="1" applyFont="1" applyFill="1" applyBorder="1" applyAlignment="1" applyProtection="1">
      <alignment horizontal="center" vertical="center"/>
    </xf>
    <xf numFmtId="173" fontId="67" fillId="0" borderId="28" xfId="105" applyNumberFormat="1" applyFont="1" applyFill="1" applyBorder="1" applyAlignment="1" applyProtection="1">
      <alignment horizontal="right" vertical="center" wrapText="1"/>
    </xf>
    <xf numFmtId="173" fontId="67" fillId="0" borderId="29" xfId="105" applyNumberFormat="1" applyFont="1" applyFill="1" applyBorder="1" applyAlignment="1" applyProtection="1">
      <alignment horizontal="right" vertical="center" wrapText="1"/>
    </xf>
    <xf numFmtId="0" fontId="53" fillId="0" borderId="0" xfId="105" applyFont="1" applyFill="1" applyProtection="1"/>
    <xf numFmtId="3" fontId="58" fillId="0" borderId="0" xfId="105" applyNumberFormat="1" applyFont="1" applyFill="1" applyProtection="1"/>
    <xf numFmtId="3" fontId="58" fillId="0" borderId="0" xfId="105" applyNumberFormat="1" applyFont="1" applyFill="1" applyAlignment="1" applyProtection="1">
      <alignment horizontal="center"/>
    </xf>
    <xf numFmtId="0" fontId="58" fillId="0" borderId="0" xfId="105" applyFont="1" applyFill="1" applyProtection="1"/>
    <xf numFmtId="0" fontId="58" fillId="0" borderId="0" xfId="105" applyFill="1" applyAlignment="1" applyProtection="1">
      <alignment horizontal="center"/>
    </xf>
    <xf numFmtId="0" fontId="24" fillId="0" borderId="0" xfId="104" applyFill="1" applyAlignment="1" applyProtection="1">
      <alignment vertical="center"/>
    </xf>
    <xf numFmtId="0" fontId="24" fillId="0" borderId="0" xfId="104" applyFill="1" applyAlignment="1" applyProtection="1">
      <alignment vertical="center" wrapText="1"/>
    </xf>
    <xf numFmtId="0" fontId="24" fillId="0" borderId="0" xfId="104" applyFill="1" applyAlignment="1" applyProtection="1">
      <alignment horizontal="center" vertical="center"/>
    </xf>
    <xf numFmtId="49" fontId="10" fillId="0" borderId="22" xfId="104" applyNumberFormat="1" applyFont="1" applyFill="1" applyBorder="1" applyAlignment="1" applyProtection="1">
      <alignment horizontal="center" vertical="center" wrapText="1"/>
    </xf>
    <xf numFmtId="49" fontId="10" fillId="0" borderId="28" xfId="104" applyNumberFormat="1" applyFont="1" applyFill="1" applyBorder="1" applyAlignment="1" applyProtection="1">
      <alignment horizontal="center" vertical="center"/>
    </xf>
    <xf numFmtId="49" fontId="10" fillId="0" borderId="29" xfId="104" applyNumberFormat="1" applyFont="1" applyFill="1" applyBorder="1" applyAlignment="1" applyProtection="1">
      <alignment horizontal="center" vertical="center"/>
    </xf>
    <xf numFmtId="49" fontId="5" fillId="0" borderId="0" xfId="104" applyNumberFormat="1" applyFont="1" applyFill="1" applyAlignment="1" applyProtection="1">
      <alignment horizontal="center" vertical="center"/>
    </xf>
    <xf numFmtId="170" fontId="9" fillId="0" borderId="18" xfId="104" applyNumberFormat="1" applyFont="1" applyFill="1" applyBorder="1" applyAlignment="1" applyProtection="1">
      <alignment horizontal="center" vertical="center"/>
    </xf>
    <xf numFmtId="171" fontId="9" fillId="0" borderId="43" xfId="104" applyNumberFormat="1" applyFont="1" applyFill="1" applyBorder="1" applyAlignment="1" applyProtection="1">
      <alignment vertical="center"/>
      <protection locked="0"/>
    </xf>
    <xf numFmtId="171" fontId="9" fillId="0" borderId="45" xfId="104" applyNumberFormat="1" applyFont="1" applyFill="1" applyBorder="1" applyAlignment="1" applyProtection="1">
      <alignment vertical="center"/>
      <protection locked="0"/>
    </xf>
    <xf numFmtId="171" fontId="10" fillId="0" borderId="45" xfId="104" applyNumberFormat="1" applyFont="1" applyFill="1" applyBorder="1" applyAlignment="1" applyProtection="1">
      <alignment vertical="center"/>
    </xf>
    <xf numFmtId="0" fontId="5" fillId="0" borderId="0" xfId="104" applyFont="1" applyFill="1" applyAlignment="1" applyProtection="1">
      <alignment vertical="center"/>
    </xf>
    <xf numFmtId="0" fontId="10" fillId="0" borderId="22" xfId="104" applyFont="1" applyFill="1" applyBorder="1" applyAlignment="1" applyProtection="1">
      <alignment horizontal="left" vertical="center" wrapText="1"/>
    </xf>
    <xf numFmtId="171" fontId="10" fillId="0" borderId="29" xfId="104" applyNumberFormat="1" applyFont="1" applyFill="1" applyBorder="1" applyAlignment="1" applyProtection="1">
      <alignment vertical="center"/>
    </xf>
    <xf numFmtId="0" fontId="58" fillId="0" borderId="0" xfId="105" applyFont="1" applyFill="1" applyAlignment="1" applyProtection="1"/>
    <xf numFmtId="0" fontId="17" fillId="0" borderId="0" xfId="104" applyFont="1" applyFill="1" applyAlignment="1" applyProtection="1">
      <alignment horizontal="center" vertical="center"/>
    </xf>
    <xf numFmtId="0" fontId="58" fillId="0" borderId="0" xfId="105" applyFill="1"/>
    <xf numFmtId="0" fontId="59" fillId="0" borderId="12" xfId="105" applyFont="1" applyFill="1" applyBorder="1" applyAlignment="1">
      <alignment horizontal="center" vertical="center"/>
    </xf>
    <xf numFmtId="0" fontId="59" fillId="0" borderId="25" xfId="105" applyFont="1" applyFill="1" applyBorder="1" applyAlignment="1">
      <alignment horizontal="center" vertical="center" wrapText="1"/>
    </xf>
    <xf numFmtId="0" fontId="59" fillId="0" borderId="67" xfId="105" applyFont="1" applyFill="1" applyBorder="1" applyAlignment="1">
      <alignment horizontal="center" vertical="center" wrapText="1"/>
    </xf>
    <xf numFmtId="0" fontId="59" fillId="0" borderId="10" xfId="105" applyFont="1" applyFill="1" applyBorder="1" applyAlignment="1">
      <alignment horizontal="center" vertical="center"/>
    </xf>
    <xf numFmtId="0" fontId="59" fillId="0" borderId="11" xfId="105" applyFont="1" applyFill="1" applyBorder="1" applyAlignment="1">
      <alignment horizontal="center" vertical="center" wrapText="1"/>
    </xf>
    <xf numFmtId="0" fontId="59" fillId="0" borderId="36" xfId="105" applyFont="1" applyFill="1" applyBorder="1" applyAlignment="1">
      <alignment horizontal="center" vertical="center" wrapText="1"/>
    </xf>
    <xf numFmtId="0" fontId="53" fillId="0" borderId="15" xfId="105" applyFont="1" applyFill="1" applyBorder="1" applyProtection="1">
      <protection locked="0"/>
    </xf>
    <xf numFmtId="0" fontId="53" fillId="0" borderId="18" xfId="105" applyFont="1" applyFill="1" applyBorder="1" applyAlignment="1">
      <alignment horizontal="right" indent="1"/>
    </xf>
    <xf numFmtId="3" fontId="53" fillId="0" borderId="18" xfId="105" applyNumberFormat="1" applyFont="1" applyFill="1" applyBorder="1" applyProtection="1">
      <protection locked="0"/>
    </xf>
    <xf numFmtId="3" fontId="53" fillId="0" borderId="43" xfId="105" applyNumberFormat="1" applyFont="1" applyFill="1" applyBorder="1" applyProtection="1">
      <protection locked="0"/>
    </xf>
    <xf numFmtId="0" fontId="53" fillId="0" borderId="16" xfId="105" applyFont="1" applyFill="1" applyBorder="1" applyAlignment="1">
      <alignment horizontal="right" indent="1"/>
    </xf>
    <xf numFmtId="3" fontId="53" fillId="0" borderId="16" xfId="105" applyNumberFormat="1" applyFont="1" applyFill="1" applyBorder="1" applyProtection="1">
      <protection locked="0"/>
    </xf>
    <xf numFmtId="3" fontId="53" fillId="0" borderId="45" xfId="105" applyNumberFormat="1" applyFont="1" applyFill="1" applyBorder="1" applyProtection="1">
      <protection locked="0"/>
    </xf>
    <xf numFmtId="0" fontId="53" fillId="0" borderId="19" xfId="105" applyFont="1" applyFill="1" applyBorder="1" applyProtection="1">
      <protection locked="0"/>
    </xf>
    <xf numFmtId="0" fontId="53" fillId="0" borderId="24" xfId="105" applyFont="1" applyFill="1" applyBorder="1" applyAlignment="1">
      <alignment horizontal="right" indent="1"/>
    </xf>
    <xf numFmtId="3" fontId="53" fillId="0" borderId="24" xfId="105" applyNumberFormat="1" applyFont="1" applyFill="1" applyBorder="1" applyProtection="1">
      <protection locked="0"/>
    </xf>
    <xf numFmtId="3" fontId="53" fillId="0" borderId="48" xfId="105" applyNumberFormat="1" applyFont="1" applyFill="1" applyBorder="1" applyProtection="1">
      <protection locked="0"/>
    </xf>
    <xf numFmtId="0" fontId="56" fillId="0" borderId="10" xfId="105" applyFont="1" applyFill="1" applyBorder="1" applyProtection="1">
      <protection locked="0"/>
    </xf>
    <xf numFmtId="0" fontId="53" fillId="0" borderId="11" xfId="105" applyFont="1" applyFill="1" applyBorder="1" applyAlignment="1">
      <alignment horizontal="right" indent="1"/>
    </xf>
    <xf numFmtId="3" fontId="53" fillId="0" borderId="11" xfId="105" applyNumberFormat="1" applyFont="1" applyFill="1" applyBorder="1" applyProtection="1">
      <protection locked="0"/>
    </xf>
    <xf numFmtId="171" fontId="10" fillId="0" borderId="36" xfId="104" applyNumberFormat="1" applyFont="1" applyFill="1" applyBorder="1" applyAlignment="1" applyProtection="1">
      <alignment vertical="center"/>
    </xf>
    <xf numFmtId="0" fontId="53" fillId="0" borderId="17" xfId="105" applyFont="1" applyFill="1" applyBorder="1" applyProtection="1">
      <protection locked="0"/>
    </xf>
    <xf numFmtId="3" fontId="53" fillId="0" borderId="79" xfId="105" applyNumberFormat="1" applyFont="1" applyFill="1" applyBorder="1"/>
    <xf numFmtId="0" fontId="61" fillId="0" borderId="0" xfId="105" applyFont="1" applyFill="1"/>
    <xf numFmtId="0" fontId="53" fillId="0" borderId="0" xfId="105" applyFont="1" applyFill="1"/>
    <xf numFmtId="0" fontId="58" fillId="0" borderId="0" xfId="105" applyFont="1" applyFill="1"/>
    <xf numFmtId="3" fontId="58" fillId="0" borderId="0" xfId="105" applyNumberFormat="1" applyFont="1" applyFill="1" applyAlignment="1">
      <alignment horizontal="center"/>
    </xf>
    <xf numFmtId="0" fontId="58" fillId="0" borderId="0" xfId="105" applyFont="1" applyFill="1" applyAlignment="1"/>
    <xf numFmtId="0" fontId="55" fillId="0" borderId="12" xfId="105" applyFont="1" applyFill="1" applyBorder="1" applyAlignment="1">
      <alignment horizontal="center" vertical="center"/>
    </xf>
    <xf numFmtId="0" fontId="55" fillId="0" borderId="25" xfId="105" applyFont="1" applyFill="1" applyBorder="1" applyAlignment="1">
      <alignment horizontal="center" vertical="center" wrapText="1"/>
    </xf>
    <xf numFmtId="0" fontId="55" fillId="0" borderId="67" xfId="105" applyFont="1" applyFill="1" applyBorder="1" applyAlignment="1">
      <alignment horizontal="center" vertical="center" wrapText="1"/>
    </xf>
    <xf numFmtId="0" fontId="55" fillId="0" borderId="10" xfId="105" applyFont="1" applyFill="1" applyBorder="1" applyAlignment="1">
      <alignment horizontal="center" vertical="center"/>
    </xf>
    <xf numFmtId="0" fontId="55" fillId="0" borderId="11" xfId="105" applyFont="1" applyFill="1" applyBorder="1" applyAlignment="1">
      <alignment horizontal="center" vertical="center" wrapText="1"/>
    </xf>
    <xf numFmtId="0" fontId="55" fillId="0" borderId="36" xfId="105" applyFont="1" applyFill="1" applyBorder="1" applyAlignment="1">
      <alignment horizontal="center" vertical="center" wrapText="1"/>
    </xf>
    <xf numFmtId="0" fontId="53" fillId="0" borderId="15" xfId="105" applyFont="1" applyFill="1" applyBorder="1" applyAlignment="1" applyProtection="1">
      <alignment horizontal="left" indent="1"/>
      <protection locked="0"/>
    </xf>
    <xf numFmtId="0" fontId="53" fillId="0" borderId="19" xfId="105" applyFont="1" applyFill="1" applyBorder="1" applyAlignment="1" applyProtection="1">
      <alignment horizontal="left" indent="1"/>
      <protection locked="0"/>
    </xf>
    <xf numFmtId="0" fontId="53" fillId="0" borderId="17" xfId="105" applyFont="1" applyFill="1" applyBorder="1" applyAlignment="1" applyProtection="1">
      <alignment horizontal="left" indent="1"/>
      <protection locked="0"/>
    </xf>
    <xf numFmtId="0" fontId="56" fillId="0" borderId="77" xfId="105" applyNumberFormat="1" applyFont="1" applyFill="1" applyBorder="1"/>
    <xf numFmtId="0" fontId="53" fillId="0" borderId="22" xfId="105" applyFont="1" applyFill="1" applyBorder="1" applyAlignment="1" applyProtection="1">
      <alignment horizontal="left" indent="1"/>
      <protection locked="0"/>
    </xf>
    <xf numFmtId="0" fontId="53" fillId="0" borderId="28" xfId="105" applyFont="1" applyFill="1" applyBorder="1" applyAlignment="1">
      <alignment horizontal="right" indent="1"/>
    </xf>
    <xf numFmtId="3" fontId="53" fillId="0" borderId="28" xfId="105" applyNumberFormat="1" applyFont="1" applyFill="1" applyBorder="1" applyProtection="1">
      <protection locked="0"/>
    </xf>
    <xf numFmtId="3" fontId="53" fillId="0" borderId="29" xfId="105" applyNumberFormat="1" applyFont="1" applyFill="1" applyBorder="1" applyProtection="1">
      <protection locked="0"/>
    </xf>
    <xf numFmtId="0" fontId="70" fillId="0" borderId="0" xfId="107" applyFont="1" applyFill="1"/>
    <xf numFmtId="0" fontId="71" fillId="0" borderId="0" xfId="107" applyFont="1" applyAlignment="1" applyProtection="1">
      <alignment horizontal="right"/>
    </xf>
    <xf numFmtId="0" fontId="24" fillId="0" borderId="0" xfId="107" applyProtection="1"/>
    <xf numFmtId="0" fontId="57" fillId="0" borderId="0" xfId="107" applyFont="1" applyAlignment="1" applyProtection="1">
      <alignment horizontal="center"/>
    </xf>
    <xf numFmtId="0" fontId="72" fillId="0" borderId="10" xfId="107" applyFont="1" applyBorder="1" applyAlignment="1" applyProtection="1">
      <alignment horizontal="center" vertical="center" wrapText="1"/>
    </xf>
    <xf numFmtId="0" fontId="57" fillId="0" borderId="11" xfId="107" applyFont="1" applyBorder="1" applyAlignment="1" applyProtection="1">
      <alignment horizontal="center" vertical="center" wrapText="1"/>
    </xf>
    <xf numFmtId="0" fontId="57" fillId="0" borderId="36" xfId="107" applyFont="1" applyBorder="1" applyAlignment="1" applyProtection="1">
      <alignment horizontal="center" vertical="center" wrapText="1"/>
    </xf>
    <xf numFmtId="0" fontId="57" fillId="0" borderId="17" xfId="107" applyFont="1" applyBorder="1" applyAlignment="1" applyProtection="1">
      <alignment horizontal="center" vertical="top" wrapText="1"/>
    </xf>
    <xf numFmtId="0" fontId="57" fillId="0" borderId="15" xfId="107" applyFont="1" applyBorder="1" applyAlignment="1" applyProtection="1">
      <alignment horizontal="center" vertical="top" wrapText="1"/>
    </xf>
    <xf numFmtId="0" fontId="57" fillId="22" borderId="11" xfId="107" applyFont="1" applyFill="1" applyBorder="1" applyAlignment="1" applyProtection="1">
      <alignment horizontal="center" vertical="top" wrapText="1"/>
    </xf>
    <xf numFmtId="166" fontId="73" fillId="0" borderId="36" xfId="66" applyNumberFormat="1" applyFont="1" applyBorder="1" applyAlignment="1" applyProtection="1">
      <alignment horizontal="center" vertical="top" wrapText="1"/>
    </xf>
    <xf numFmtId="0" fontId="74" fillId="0" borderId="0" xfId="107" applyFont="1" applyFill="1" applyAlignment="1">
      <alignment horizontal="right"/>
    </xf>
    <xf numFmtId="0" fontId="21" fillId="0" borderId="0" xfId="107" applyFont="1" applyFill="1" applyAlignment="1">
      <alignment horizontal="center"/>
    </xf>
    <xf numFmtId="0" fontId="13" fillId="0" borderId="0" xfId="107" applyFont="1" applyFill="1" applyAlignment="1">
      <alignment horizontal="right"/>
    </xf>
    <xf numFmtId="0" fontId="7" fillId="0" borderId="10" xfId="107" applyFont="1" applyFill="1" applyBorder="1" applyAlignment="1">
      <alignment horizontal="center" vertical="center" wrapText="1"/>
    </xf>
    <xf numFmtId="0" fontId="21" fillId="0" borderId="11" xfId="107" applyFont="1" applyFill="1" applyBorder="1" applyAlignment="1">
      <alignment horizontal="center" vertical="center"/>
    </xf>
    <xf numFmtId="0" fontId="21" fillId="0" borderId="36" xfId="107" applyFont="1" applyFill="1" applyBorder="1" applyAlignment="1">
      <alignment horizontal="center" vertical="center" wrapText="1"/>
    </xf>
    <xf numFmtId="0" fontId="24" fillId="0" borderId="0" xfId="107" applyFill="1" applyAlignment="1">
      <alignment horizontal="center"/>
    </xf>
    <xf numFmtId="0" fontId="24" fillId="0" borderId="17" xfId="107" applyFill="1" applyBorder="1" applyAlignment="1">
      <alignment horizontal="center" vertical="center"/>
    </xf>
    <xf numFmtId="172" fontId="29" fillId="0" borderId="43" xfId="107" applyNumberFormat="1" applyFont="1" applyFill="1" applyBorder="1" applyAlignment="1" applyProtection="1">
      <alignment horizontal="right" vertical="center"/>
    </xf>
    <xf numFmtId="0" fontId="24" fillId="0" borderId="15" xfId="107" applyFill="1" applyBorder="1" applyAlignment="1">
      <alignment horizontal="center" vertical="center"/>
    </xf>
    <xf numFmtId="0" fontId="75" fillId="0" borderId="16" xfId="107" applyFont="1" applyFill="1" applyBorder="1" applyAlignment="1">
      <alignment horizontal="left" vertical="center" indent="5"/>
    </xf>
    <xf numFmtId="172" fontId="28" fillId="0" borderId="45" xfId="107" applyNumberFormat="1" applyFont="1" applyFill="1" applyBorder="1" applyAlignment="1" applyProtection="1">
      <alignment horizontal="right" vertical="center"/>
      <protection locked="0"/>
    </xf>
    <xf numFmtId="0" fontId="24" fillId="0" borderId="16" xfId="107" applyFont="1" applyFill="1" applyBorder="1" applyAlignment="1">
      <alignment horizontal="left" vertical="center" indent="1"/>
    </xf>
    <xf numFmtId="172" fontId="29" fillId="0" borderId="63" xfId="107" applyNumberFormat="1" applyFont="1" applyFill="1" applyBorder="1" applyAlignment="1" applyProtection="1">
      <alignment horizontal="right" vertical="center"/>
    </xf>
    <xf numFmtId="0" fontId="75" fillId="0" borderId="28" xfId="107" applyFont="1" applyFill="1" applyBorder="1" applyAlignment="1">
      <alignment horizontal="left" vertical="center" indent="5"/>
    </xf>
    <xf numFmtId="172" fontId="28" fillId="0" borderId="29" xfId="107" applyNumberFormat="1" applyFont="1" applyFill="1" applyBorder="1" applyAlignment="1" applyProtection="1">
      <alignment horizontal="right" vertical="center"/>
      <protection locked="0"/>
    </xf>
    <xf numFmtId="0" fontId="19" fillId="0" borderId="0" xfId="102" applyFont="1" applyFill="1"/>
    <xf numFmtId="168" fontId="21" fillId="0" borderId="0" xfId="102" applyNumberFormat="1" applyFont="1" applyFill="1" applyBorder="1" applyAlignment="1" applyProtection="1">
      <alignment horizontal="centerContinuous" vertical="center"/>
    </xf>
    <xf numFmtId="0" fontId="13" fillId="0" borderId="0" xfId="100" applyFont="1" applyFill="1" applyBorder="1" applyAlignment="1" applyProtection="1">
      <alignment horizontal="right"/>
    </xf>
    <xf numFmtId="0" fontId="74" fillId="0" borderId="0" xfId="100" applyFont="1" applyFill="1" applyBorder="1" applyAlignment="1" applyProtection="1"/>
    <xf numFmtId="0" fontId="11" fillId="0" borderId="20" xfId="102" applyFont="1" applyFill="1" applyBorder="1" applyAlignment="1" applyProtection="1">
      <alignment horizontal="center" vertical="center" wrapText="1"/>
    </xf>
    <xf numFmtId="0" fontId="11" fillId="0" borderId="21" xfId="102" applyFont="1" applyFill="1" applyBorder="1" applyAlignment="1" applyProtection="1">
      <alignment horizontal="center" vertical="center" wrapText="1"/>
    </xf>
    <xf numFmtId="0" fontId="11" fillId="0" borderId="63" xfId="102" applyFont="1" applyFill="1" applyBorder="1" applyAlignment="1" applyProtection="1">
      <alignment horizontal="center" vertical="center" wrapText="1"/>
    </xf>
    <xf numFmtId="0" fontId="25" fillId="0" borderId="10" xfId="102" applyFont="1" applyFill="1" applyBorder="1" applyAlignment="1" applyProtection="1">
      <alignment horizontal="center" vertical="center"/>
    </xf>
    <xf numFmtId="0" fontId="25" fillId="0" borderId="11" xfId="102" applyFont="1" applyFill="1" applyBorder="1" applyAlignment="1" applyProtection="1">
      <alignment horizontal="center" vertical="center"/>
    </xf>
    <xf numFmtId="0" fontId="25" fillId="0" borderId="36" xfId="102" applyFont="1" applyFill="1" applyBorder="1" applyAlignment="1" applyProtection="1">
      <alignment horizontal="center" vertical="center"/>
    </xf>
    <xf numFmtId="0" fontId="25" fillId="0" borderId="20" xfId="102" applyFont="1" applyFill="1" applyBorder="1" applyAlignment="1" applyProtection="1">
      <alignment horizontal="center" vertical="center"/>
    </xf>
    <xf numFmtId="0" fontId="25" fillId="0" borderId="18" xfId="102" applyFont="1" applyFill="1" applyBorder="1" applyProtection="1"/>
    <xf numFmtId="166" fontId="25" fillId="0" borderId="38" xfId="66" applyNumberFormat="1" applyFont="1" applyFill="1" applyBorder="1" applyProtection="1">
      <protection locked="0"/>
    </xf>
    <xf numFmtId="0" fontId="25" fillId="0" borderId="15" xfId="102" applyFont="1" applyFill="1" applyBorder="1" applyAlignment="1" applyProtection="1">
      <alignment horizontal="center" vertical="center"/>
    </xf>
    <xf numFmtId="0" fontId="60" fillId="0" borderId="16" xfId="100" applyFont="1" applyBorder="1" applyAlignment="1">
      <alignment horizontal="justify" wrapText="1"/>
    </xf>
    <xf numFmtId="166" fontId="25" fillId="0" borderId="32" xfId="66" applyNumberFormat="1" applyFont="1" applyFill="1" applyBorder="1" applyProtection="1">
      <protection locked="0"/>
    </xf>
    <xf numFmtId="0" fontId="60" fillId="0" borderId="16" xfId="100" applyFont="1" applyBorder="1" applyAlignment="1">
      <alignment wrapText="1"/>
    </xf>
    <xf numFmtId="166" fontId="25" fillId="0" borderId="33" xfId="66" applyNumberFormat="1" applyFont="1" applyFill="1" applyBorder="1" applyProtection="1">
      <protection locked="0"/>
    </xf>
    <xf numFmtId="0" fontId="60" fillId="0" borderId="28" xfId="100" applyFont="1" applyBorder="1" applyAlignment="1">
      <alignment wrapText="1"/>
    </xf>
    <xf numFmtId="166" fontId="11" fillId="0" borderId="36" xfId="66" applyNumberFormat="1" applyFont="1" applyFill="1" applyBorder="1" applyProtection="1"/>
    <xf numFmtId="168" fontId="25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4" fontId="7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6" fillId="0" borderId="0" xfId="107" applyNumberFormat="1" applyFont="1" applyFill="1" applyAlignment="1">
      <alignment vertical="center" wrapText="1"/>
    </xf>
    <xf numFmtId="168" fontId="6" fillId="0" borderId="0" xfId="107" applyNumberFormat="1" applyFont="1" applyFill="1" applyAlignment="1">
      <alignment horizontal="left" vertical="center" wrapText="1"/>
    </xf>
    <xf numFmtId="168" fontId="24" fillId="0" borderId="0" xfId="107" applyNumberFormat="1" applyFont="1" applyFill="1" applyAlignment="1">
      <alignment vertical="center" wrapText="1"/>
    </xf>
    <xf numFmtId="168" fontId="24" fillId="0" borderId="0" xfId="107" applyNumberFormat="1" applyFont="1" applyFill="1" applyAlignment="1">
      <alignment horizontal="left" vertical="center" wrapText="1"/>
    </xf>
    <xf numFmtId="168" fontId="24" fillId="0" borderId="0" xfId="107" applyNumberFormat="1" applyFill="1" applyAlignment="1">
      <alignment horizontal="left" vertical="center" wrapText="1"/>
    </xf>
    <xf numFmtId="0" fontId="58" fillId="0" borderId="18" xfId="106" applyFont="1" applyBorder="1" applyAlignment="1" applyProtection="1">
      <alignment horizontal="left" vertical="top" wrapText="1"/>
      <protection locked="0"/>
    </xf>
    <xf numFmtId="0" fontId="58" fillId="0" borderId="18" xfId="106" applyFont="1" applyBorder="1" applyAlignment="1" applyProtection="1">
      <alignment horizontal="right" vertical="top" wrapText="1"/>
      <protection locked="0"/>
    </xf>
    <xf numFmtId="164" fontId="58" fillId="0" borderId="18" xfId="106" applyNumberFormat="1" applyFont="1" applyBorder="1" applyAlignment="1" applyProtection="1">
      <alignment horizontal="right" vertical="top" wrapText="1"/>
      <protection locked="0"/>
    </xf>
    <xf numFmtId="3" fontId="58" fillId="0" borderId="43" xfId="106" applyNumberFormat="1" applyFont="1" applyBorder="1" applyAlignment="1" applyProtection="1">
      <alignment horizontal="center" vertical="top" wrapText="1"/>
      <protection locked="0"/>
    </xf>
    <xf numFmtId="0" fontId="58" fillId="0" borderId="16" xfId="106" applyFont="1" applyBorder="1" applyAlignment="1" applyProtection="1">
      <alignment horizontal="left" vertical="top" wrapText="1"/>
      <protection locked="0"/>
    </xf>
    <xf numFmtId="0" fontId="58" fillId="0" borderId="16" xfId="106" applyFont="1" applyBorder="1" applyAlignment="1" applyProtection="1">
      <alignment horizontal="right" vertical="top" wrapText="1"/>
      <protection locked="0"/>
    </xf>
    <xf numFmtId="164" fontId="58" fillId="0" borderId="16" xfId="106" applyNumberFormat="1" applyFont="1" applyBorder="1" applyAlignment="1" applyProtection="1">
      <alignment horizontal="right" vertical="top" wrapText="1"/>
      <protection locked="0"/>
    </xf>
    <xf numFmtId="3" fontId="58" fillId="0" borderId="45" xfId="106" applyNumberFormat="1" applyFont="1" applyBorder="1" applyAlignment="1" applyProtection="1">
      <alignment horizontal="center" vertical="top" wrapText="1"/>
      <protection locked="0"/>
    </xf>
    <xf numFmtId="0" fontId="58" fillId="0" borderId="16" xfId="106" applyFont="1" applyBorder="1" applyAlignment="1" applyProtection="1">
      <alignment horizontal="center" vertical="top" wrapText="1"/>
      <protection locked="0"/>
    </xf>
    <xf numFmtId="3" fontId="58" fillId="0" borderId="80" xfId="106" applyNumberFormat="1" applyFont="1" applyBorder="1" applyAlignment="1" applyProtection="1">
      <alignment horizontal="center" vertical="top" wrapText="1"/>
      <protection locked="0"/>
    </xf>
    <xf numFmtId="168" fontId="25" fillId="0" borderId="16" xfId="107" applyNumberFormat="1" applyFont="1" applyFill="1" applyBorder="1" applyAlignment="1" applyProtection="1">
      <alignment vertical="center" wrapText="1"/>
    </xf>
    <xf numFmtId="0" fontId="24" fillId="0" borderId="0" xfId="107" applyFont="1" applyProtection="1"/>
    <xf numFmtId="0" fontId="24" fillId="0" borderId="0" xfId="107" applyFont="1" applyFill="1" applyAlignment="1">
      <alignment horizontal="right"/>
    </xf>
    <xf numFmtId="0" fontId="24" fillId="0" borderId="0" xfId="104" applyFont="1" applyFill="1" applyAlignment="1" applyProtection="1">
      <alignment horizontal="right" vertical="center" wrapText="1"/>
    </xf>
    <xf numFmtId="0" fontId="58" fillId="0" borderId="0" xfId="105" applyFont="1" applyFill="1" applyAlignment="1">
      <alignment horizontal="right"/>
    </xf>
    <xf numFmtId="168" fontId="78" fillId="0" borderId="0" xfId="107" applyNumberFormat="1" applyFont="1" applyFill="1" applyAlignment="1">
      <alignment horizontal="right" vertical="center" wrapText="1"/>
    </xf>
    <xf numFmtId="0" fontId="58" fillId="0" borderId="0" xfId="105" applyFill="1" applyAlignment="1">
      <alignment wrapText="1"/>
    </xf>
    <xf numFmtId="0" fontId="80" fillId="0" borderId="0" xfId="107" applyFont="1" applyProtection="1"/>
    <xf numFmtId="0" fontId="49" fillId="0" borderId="27" xfId="103" applyFont="1" applyFill="1" applyBorder="1" applyAlignment="1" applyProtection="1">
      <alignment horizontal="right" vertical="center"/>
    </xf>
    <xf numFmtId="0" fontId="10" fillId="0" borderId="11" xfId="102" applyFont="1" applyFill="1" applyBorder="1" applyAlignment="1" applyProtection="1">
      <alignment horizontal="left" vertical="center" wrapText="1"/>
    </xf>
    <xf numFmtId="0" fontId="53" fillId="0" borderId="18" xfId="103" applyFont="1" applyBorder="1" applyAlignment="1" applyProtection="1">
      <alignment horizontal="left" vertical="center" wrapText="1"/>
    </xf>
    <xf numFmtId="0" fontId="53" fillId="0" borderId="16" xfId="103" applyFont="1" applyBorder="1" applyAlignment="1" applyProtection="1">
      <alignment horizontal="left" vertical="center" wrapText="1"/>
    </xf>
    <xf numFmtId="0" fontId="53" fillId="0" borderId="24" xfId="103" applyFont="1" applyBorder="1" applyAlignment="1" applyProtection="1">
      <alignment horizontal="left" vertical="center" wrapText="1"/>
    </xf>
    <xf numFmtId="0" fontId="56" fillId="0" borderId="11" xfId="103" applyFont="1" applyBorder="1" applyAlignment="1" applyProtection="1">
      <alignment horizontal="left" vertical="center" wrapText="1"/>
    </xf>
    <xf numFmtId="0" fontId="56" fillId="0" borderId="10" xfId="103" applyFont="1" applyBorder="1" applyAlignment="1" applyProtection="1">
      <alignment vertical="center" wrapText="1"/>
    </xf>
    <xf numFmtId="0" fontId="53" fillId="0" borderId="24" xfId="103" applyFont="1" applyBorder="1" applyAlignment="1" applyProtection="1">
      <alignment vertical="center" wrapText="1"/>
    </xf>
    <xf numFmtId="0" fontId="53" fillId="0" borderId="17" xfId="103" applyFont="1" applyBorder="1" applyAlignment="1" applyProtection="1">
      <alignment vertical="center" wrapText="1"/>
    </xf>
    <xf numFmtId="0" fontId="53" fillId="0" borderId="15" xfId="103" applyFont="1" applyBorder="1" applyAlignment="1" applyProtection="1">
      <alignment vertical="center" wrapText="1"/>
    </xf>
    <xf numFmtId="0" fontId="53" fillId="0" borderId="19" xfId="103" applyFont="1" applyBorder="1" applyAlignment="1" applyProtection="1">
      <alignment vertical="center" wrapText="1"/>
    </xf>
    <xf numFmtId="0" fontId="56" fillId="0" borderId="11" xfId="103" applyFont="1" applyBorder="1" applyAlignment="1" applyProtection="1">
      <alignment vertical="center" wrapText="1"/>
    </xf>
    <xf numFmtId="0" fontId="56" fillId="0" borderId="34" xfId="103" applyFont="1" applyBorder="1" applyAlignment="1" applyProtection="1">
      <alignment vertical="center" wrapText="1"/>
    </xf>
    <xf numFmtId="0" fontId="56" fillId="0" borderId="35" xfId="103" applyFont="1" applyBorder="1" applyAlignment="1" applyProtection="1">
      <alignment vertical="center" wrapText="1"/>
    </xf>
    <xf numFmtId="0" fontId="49" fillId="0" borderId="27" xfId="103" applyFont="1" applyFill="1" applyBorder="1" applyAlignment="1" applyProtection="1">
      <alignment horizontal="right"/>
    </xf>
    <xf numFmtId="0" fontId="9" fillId="0" borderId="16" xfId="102" applyFont="1" applyFill="1" applyBorder="1" applyAlignment="1" applyProtection="1">
      <alignment horizontal="left" vertical="center" wrapText="1"/>
    </xf>
    <xf numFmtId="0" fontId="9" fillId="0" borderId="0" xfId="102" applyFont="1" applyFill="1" applyBorder="1" applyAlignment="1" applyProtection="1">
      <alignment horizontal="left" vertical="center" wrapText="1"/>
    </xf>
    <xf numFmtId="0" fontId="9" fillId="0" borderId="24" xfId="102" applyFont="1" applyFill="1" applyBorder="1" applyAlignment="1" applyProtection="1">
      <alignment horizontal="left" vertical="center" wrapText="1"/>
    </xf>
    <xf numFmtId="0" fontId="9" fillId="0" borderId="18" xfId="102" applyFont="1" applyFill="1" applyBorder="1" applyAlignment="1" applyProtection="1">
      <alignment horizontal="left" vertical="center" wrapText="1"/>
    </xf>
    <xf numFmtId="0" fontId="11" fillId="0" borderId="11" xfId="102" applyFont="1" applyFill="1" applyBorder="1" applyAlignment="1" applyProtection="1">
      <alignment horizontal="left" vertical="center" wrapText="1"/>
    </xf>
    <xf numFmtId="0" fontId="9" fillId="0" borderId="14" xfId="102" applyFont="1" applyFill="1" applyBorder="1" applyAlignment="1" applyProtection="1">
      <alignment horizontal="left" vertical="center" wrapText="1"/>
    </xf>
    <xf numFmtId="168" fontId="56" fillId="0" borderId="11" xfId="103" applyNumberFormat="1" applyFont="1" applyBorder="1" applyAlignment="1" applyProtection="1">
      <alignment horizontal="right" vertical="center" wrapText="1" indent="1"/>
    </xf>
    <xf numFmtId="168" fontId="56" fillId="0" borderId="30" xfId="103" applyNumberFormat="1" applyFont="1" applyBorder="1" applyAlignment="1" applyProtection="1">
      <alignment horizontal="right" vertical="center" wrapText="1" indent="1"/>
    </xf>
    <xf numFmtId="168" fontId="59" fillId="0" borderId="11" xfId="103" quotePrefix="1" applyNumberFormat="1" applyFont="1" applyBorder="1" applyAlignment="1" applyProtection="1">
      <alignment horizontal="right" vertical="center" wrapText="1" indent="1"/>
    </xf>
    <xf numFmtId="168" fontId="59" fillId="0" borderId="30" xfId="103" quotePrefix="1" applyNumberFormat="1" applyFont="1" applyBorder="1" applyAlignment="1" applyProtection="1">
      <alignment horizontal="right" vertical="center" wrapText="1" indent="1"/>
    </xf>
    <xf numFmtId="0" fontId="56" fillId="0" borderId="34" xfId="103" applyFont="1" applyBorder="1" applyAlignment="1" applyProtection="1">
      <alignment horizontal="left" vertical="center" wrapText="1" indent="1"/>
    </xf>
    <xf numFmtId="0" fontId="59" fillId="0" borderId="35" xfId="103" applyFont="1" applyBorder="1" applyAlignment="1" applyProtection="1">
      <alignment horizontal="left" vertical="center" wrapText="1"/>
    </xf>
    <xf numFmtId="168" fontId="20" fillId="0" borderId="0" xfId="103" applyNumberFormat="1" applyFont="1" applyFill="1" applyAlignment="1">
      <alignment vertical="center" wrapText="1"/>
    </xf>
    <xf numFmtId="168" fontId="49" fillId="0" borderId="0" xfId="103" applyNumberFormat="1" applyFont="1" applyFill="1" applyAlignment="1">
      <alignment horizontal="right" vertical="center"/>
    </xf>
    <xf numFmtId="168" fontId="21" fillId="0" borderId="0" xfId="103" applyNumberFormat="1" applyFont="1" applyFill="1" applyAlignment="1">
      <alignment vertical="center"/>
    </xf>
    <xf numFmtId="168" fontId="21" fillId="0" borderId="0" xfId="103" applyNumberFormat="1" applyFont="1" applyFill="1" applyAlignment="1">
      <alignment horizontal="center" vertical="center"/>
    </xf>
    <xf numFmtId="168" fontId="18" fillId="0" borderId="26" xfId="103" applyNumberFormat="1" applyFont="1" applyFill="1" applyBorder="1" applyAlignment="1">
      <alignment horizontal="center" vertical="center" wrapText="1"/>
    </xf>
    <xf numFmtId="168" fontId="18" fillId="0" borderId="41" xfId="103" applyNumberFormat="1" applyFont="1" applyFill="1" applyBorder="1" applyAlignment="1">
      <alignment horizontal="center" vertical="center" wrapText="1"/>
    </xf>
    <xf numFmtId="168" fontId="18" fillId="0" borderId="77" xfId="103" applyNumberFormat="1" applyFont="1" applyFill="1" applyBorder="1" applyAlignment="1">
      <alignment horizontal="center" vertical="center" wrapText="1"/>
    </xf>
    <xf numFmtId="168" fontId="18" fillId="0" borderId="36" xfId="103" applyNumberFormat="1" applyFont="1" applyFill="1" applyBorder="1" applyAlignment="1">
      <alignment horizontal="center" vertical="center" wrapText="1"/>
    </xf>
    <xf numFmtId="168" fontId="21" fillId="0" borderId="0" xfId="103" applyNumberFormat="1" applyFont="1" applyFill="1" applyAlignment="1">
      <alignment horizontal="center" vertical="center" wrapText="1"/>
    </xf>
    <xf numFmtId="168" fontId="10" fillId="0" borderId="10" xfId="103" applyNumberFormat="1" applyFont="1" applyFill="1" applyBorder="1" applyAlignment="1">
      <alignment horizontal="right" vertical="center" wrapText="1" indent="1"/>
    </xf>
    <xf numFmtId="168" fontId="10" fillId="0" borderId="41" xfId="103" applyNumberFormat="1" applyFont="1" applyFill="1" applyBorder="1" applyAlignment="1">
      <alignment horizontal="left" vertical="center" wrapText="1" indent="1"/>
    </xf>
    <xf numFmtId="168" fontId="5" fillId="21" borderId="41" xfId="103" applyNumberFormat="1" applyFont="1" applyFill="1" applyBorder="1" applyAlignment="1">
      <alignment horizontal="left" vertical="center" wrapText="1" indent="2"/>
    </xf>
    <xf numFmtId="168" fontId="5" fillId="21" borderId="40" xfId="103" applyNumberFormat="1" applyFont="1" applyFill="1" applyBorder="1" applyAlignment="1">
      <alignment horizontal="left" vertical="center" wrapText="1" indent="2"/>
    </xf>
    <xf numFmtId="168" fontId="10" fillId="0" borderId="10" xfId="103" applyNumberFormat="1" applyFont="1" applyFill="1" applyBorder="1" applyAlignment="1">
      <alignment vertical="center" wrapText="1"/>
    </xf>
    <xf numFmtId="168" fontId="10" fillId="0" borderId="11" xfId="103" applyNumberFormat="1" applyFont="1" applyFill="1" applyBorder="1" applyAlignment="1">
      <alignment vertical="center" wrapText="1"/>
    </xf>
    <xf numFmtId="168" fontId="10" fillId="0" borderId="36" xfId="103" applyNumberFormat="1" applyFont="1" applyFill="1" applyBorder="1" applyAlignment="1">
      <alignment vertical="center" wrapText="1"/>
    </xf>
    <xf numFmtId="168" fontId="24" fillId="0" borderId="0" xfId="103" applyNumberFormat="1" applyFill="1" applyAlignment="1">
      <alignment vertical="center" wrapText="1"/>
    </xf>
    <xf numFmtId="168" fontId="10" fillId="0" borderId="15" xfId="103" applyNumberFormat="1" applyFont="1" applyFill="1" applyBorder="1" applyAlignment="1">
      <alignment horizontal="right" vertical="center" wrapText="1" indent="1"/>
    </xf>
    <xf numFmtId="168" fontId="9" fillId="0" borderId="44" xfId="103" applyNumberFormat="1" applyFont="1" applyFill="1" applyBorder="1" applyAlignment="1" applyProtection="1">
      <alignment horizontal="left" vertical="center" wrapText="1" indent="1"/>
      <protection locked="0"/>
    </xf>
    <xf numFmtId="169" fontId="5" fillId="0" borderId="44" xfId="103" applyNumberFormat="1" applyFont="1" applyFill="1" applyBorder="1" applyAlignment="1" applyProtection="1">
      <alignment horizontal="right" vertical="center" wrapText="1" indent="2"/>
      <protection locked="0"/>
    </xf>
    <xf numFmtId="169" fontId="5" fillId="0" borderId="16" xfId="103" applyNumberFormat="1" applyFont="1" applyFill="1" applyBorder="1" applyAlignment="1" applyProtection="1">
      <alignment horizontal="right" vertical="center" wrapText="1" indent="2"/>
      <protection locked="0"/>
    </xf>
    <xf numFmtId="168" fontId="9" fillId="0" borderId="15" xfId="103" applyNumberFormat="1" applyFont="1" applyFill="1" applyBorder="1" applyAlignment="1" applyProtection="1">
      <alignment vertical="center" wrapText="1"/>
      <protection locked="0"/>
    </xf>
    <xf numFmtId="168" fontId="9" fillId="0" borderId="16" xfId="103" applyNumberFormat="1" applyFont="1" applyFill="1" applyBorder="1" applyAlignment="1" applyProtection="1">
      <alignment vertical="center" wrapText="1"/>
      <protection locked="0"/>
    </xf>
    <xf numFmtId="168" fontId="9" fillId="0" borderId="45" xfId="103" applyNumberFormat="1" applyFont="1" applyFill="1" applyBorder="1" applyAlignment="1" applyProtection="1">
      <alignment vertical="center" wrapText="1"/>
      <protection locked="0"/>
    </xf>
    <xf numFmtId="168" fontId="5" fillId="21" borderId="41" xfId="103" applyNumberFormat="1" applyFont="1" applyFill="1" applyBorder="1" applyAlignment="1">
      <alignment horizontal="right" vertical="center" wrapText="1" indent="2"/>
    </xf>
    <xf numFmtId="168" fontId="5" fillId="21" borderId="40" xfId="103" applyNumberFormat="1" applyFont="1" applyFill="1" applyBorder="1" applyAlignment="1">
      <alignment horizontal="right" vertical="center" wrapText="1" indent="2"/>
    </xf>
    <xf numFmtId="168" fontId="24" fillId="0" borderId="0" xfId="103" applyNumberFormat="1" applyFill="1" applyAlignment="1">
      <alignment horizontal="center" vertical="center" wrapText="1"/>
    </xf>
    <xf numFmtId="166" fontId="29" fillId="0" borderId="74" xfId="66" applyNumberFormat="1" applyFont="1" applyFill="1" applyBorder="1" applyAlignment="1" applyProtection="1">
      <alignment vertical="center"/>
    </xf>
    <xf numFmtId="166" fontId="29" fillId="0" borderId="38" xfId="66" applyNumberFormat="1" applyFont="1" applyFill="1" applyBorder="1" applyAlignment="1" applyProtection="1">
      <alignment vertical="center"/>
    </xf>
    <xf numFmtId="166" fontId="29" fillId="0" borderId="75" xfId="66" applyNumberFormat="1" applyFont="1" applyFill="1" applyBorder="1" applyAlignment="1" applyProtection="1">
      <alignment horizontal="center" vertical="center"/>
    </xf>
    <xf numFmtId="49" fontId="9" fillId="0" borderId="16" xfId="102" applyNumberFormat="1" applyFont="1" applyFill="1" applyBorder="1" applyAlignment="1" applyProtection="1">
      <alignment horizontal="left" vertical="center" wrapText="1" indent="1"/>
    </xf>
    <xf numFmtId="168" fontId="77" fillId="0" borderId="0" xfId="107" applyNumberFormat="1" applyFont="1" applyFill="1" applyAlignment="1">
      <alignment vertical="center" wrapText="1"/>
    </xf>
    <xf numFmtId="0" fontId="24" fillId="0" borderId="18" xfId="107" applyFont="1" applyFill="1" applyBorder="1" applyAlignment="1" applyProtection="1">
      <alignment horizontal="left" vertical="center" wrapText="1" indent="1"/>
      <protection locked="0"/>
    </xf>
    <xf numFmtId="0" fontId="24" fillId="0" borderId="21" xfId="107" applyFont="1" applyFill="1" applyBorder="1" applyAlignment="1" applyProtection="1">
      <alignment horizontal="left" vertical="center" wrapText="1" indent="1"/>
      <protection locked="0"/>
    </xf>
    <xf numFmtId="171" fontId="25" fillId="0" borderId="45" xfId="104" applyNumberFormat="1" applyFont="1" applyFill="1" applyBorder="1" applyAlignment="1" applyProtection="1">
      <alignment vertical="center"/>
      <protection locked="0"/>
    </xf>
    <xf numFmtId="168" fontId="25" fillId="0" borderId="16" xfId="0" applyNumberFormat="1" applyFont="1" applyFill="1" applyBorder="1" applyAlignment="1" applyProtection="1">
      <alignment vertical="center" wrapText="1"/>
      <protection locked="0"/>
    </xf>
    <xf numFmtId="49" fontId="25" fillId="0" borderId="16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0" xfId="107" applyNumberFormat="1" applyFont="1" applyFill="1" applyAlignment="1" applyProtection="1">
      <alignment vertical="center" wrapText="1"/>
    </xf>
    <xf numFmtId="3" fontId="56" fillId="0" borderId="11" xfId="105" applyNumberFormat="1" applyFont="1" applyFill="1" applyBorder="1" applyProtection="1">
      <protection locked="0"/>
    </xf>
    <xf numFmtId="173" fontId="56" fillId="0" borderId="16" xfId="105" applyNumberFormat="1" applyFont="1" applyFill="1" applyBorder="1" applyAlignment="1" applyProtection="1">
      <alignment horizontal="right" vertical="center" wrapText="1"/>
    </xf>
    <xf numFmtId="4" fontId="7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8" fontId="51" fillId="0" borderId="0" xfId="107" applyNumberFormat="1" applyFont="1" applyFill="1" applyAlignment="1" applyProtection="1">
      <alignment horizontal="centerContinuous" vertical="center" wrapText="1"/>
    </xf>
    <xf numFmtId="168" fontId="24" fillId="0" borderId="0" xfId="107" applyNumberFormat="1" applyFont="1" applyFill="1" applyAlignment="1" applyProtection="1">
      <alignment horizontal="centerContinuous" vertical="center"/>
    </xf>
    <xf numFmtId="168" fontId="5" fillId="0" borderId="16" xfId="0" applyNumberFormat="1" applyFont="1" applyFill="1" applyBorder="1" applyAlignment="1" applyProtection="1">
      <alignment vertical="center" wrapText="1"/>
      <protection locked="0"/>
    </xf>
    <xf numFmtId="168" fontId="7" fillId="0" borderId="45" xfId="107" applyNumberFormat="1" applyFont="1" applyFill="1" applyBorder="1" applyAlignment="1" applyProtection="1">
      <alignment vertical="center" wrapText="1"/>
    </xf>
    <xf numFmtId="0" fontId="84" fillId="0" borderId="0" xfId="105" applyFont="1" applyFill="1" applyProtection="1"/>
    <xf numFmtId="173" fontId="84" fillId="0" borderId="16" xfId="105" applyNumberFormat="1" applyFont="1" applyFill="1" applyBorder="1" applyAlignment="1" applyProtection="1">
      <alignment horizontal="right" vertical="center" wrapText="1"/>
      <protection locked="0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173" fontId="56" fillId="0" borderId="21" xfId="105" applyNumberFormat="1" applyFont="1" applyFill="1" applyBorder="1" applyAlignment="1" applyProtection="1">
      <alignment horizontal="right" vertical="center" wrapText="1"/>
      <protection locked="0"/>
    </xf>
    <xf numFmtId="173" fontId="56" fillId="0" borderId="28" xfId="105" applyNumberFormat="1" applyFont="1" applyFill="1" applyBorder="1" applyAlignment="1" applyProtection="1">
      <alignment horizontal="right" vertical="center" wrapText="1"/>
    </xf>
    <xf numFmtId="173" fontId="56" fillId="0" borderId="45" xfId="105" applyNumberFormat="1" applyFont="1" applyFill="1" applyBorder="1" applyAlignment="1" applyProtection="1">
      <alignment horizontal="right" vertical="center" wrapText="1"/>
    </xf>
    <xf numFmtId="173" fontId="56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56" fillId="0" borderId="45" xfId="105" applyNumberFormat="1" applyFont="1" applyFill="1" applyBorder="1" applyAlignment="1" applyProtection="1">
      <alignment horizontal="right" vertical="center" wrapText="1"/>
      <protection locked="0"/>
    </xf>
    <xf numFmtId="166" fontId="73" fillId="0" borderId="11" xfId="66" applyNumberFormat="1" applyFont="1" applyFill="1" applyBorder="1" applyAlignment="1" applyProtection="1">
      <alignment horizontal="center" vertical="center" wrapText="1"/>
    </xf>
    <xf numFmtId="172" fontId="24" fillId="0" borderId="0" xfId="107" applyNumberFormat="1" applyFill="1"/>
    <xf numFmtId="0" fontId="24" fillId="0" borderId="20" xfId="107" applyFont="1" applyFill="1" applyBorder="1" applyAlignment="1">
      <alignment horizontal="center" vertical="center"/>
    </xf>
    <xf numFmtId="0" fontId="24" fillId="0" borderId="15" xfId="107" applyFont="1" applyFill="1" applyBorder="1" applyAlignment="1">
      <alignment horizontal="center" vertical="center"/>
    </xf>
    <xf numFmtId="0" fontId="24" fillId="0" borderId="22" xfId="107" applyFont="1" applyFill="1" applyBorder="1" applyAlignment="1">
      <alignment horizontal="center" vertical="center"/>
    </xf>
    <xf numFmtId="168" fontId="10" fillId="0" borderId="14" xfId="107" applyNumberFormat="1" applyFont="1" applyFill="1" applyBorder="1" applyAlignment="1" applyProtection="1">
      <alignment horizontal="center" vertical="center" wrapText="1"/>
    </xf>
    <xf numFmtId="168" fontId="10" fillId="0" borderId="50" xfId="107" applyNumberFormat="1" applyFont="1" applyFill="1" applyBorder="1" applyAlignment="1" applyProtection="1">
      <alignment horizontal="center" vertical="center" wrapText="1"/>
    </xf>
    <xf numFmtId="168" fontId="10" fillId="0" borderId="82" xfId="107" applyNumberFormat="1" applyFont="1" applyFill="1" applyBorder="1" applyAlignment="1" applyProtection="1">
      <alignment horizontal="center" vertical="center" wrapText="1"/>
    </xf>
    <xf numFmtId="168" fontId="24" fillId="0" borderId="16" xfId="107" applyNumberFormat="1" applyFill="1" applyBorder="1" applyAlignment="1">
      <alignment vertical="center" wrapText="1"/>
    </xf>
    <xf numFmtId="168" fontId="10" fillId="0" borderId="13" xfId="107" applyNumberFormat="1" applyFont="1" applyFill="1" applyBorder="1" applyAlignment="1" applyProtection="1">
      <alignment horizontal="center" vertical="center" wrapText="1"/>
    </xf>
    <xf numFmtId="168" fontId="24" fillId="0" borderId="21" xfId="107" applyNumberFormat="1" applyFill="1" applyBorder="1" applyAlignment="1">
      <alignment vertical="center" wrapText="1"/>
    </xf>
    <xf numFmtId="168" fontId="7" fillId="0" borderId="63" xfId="107" applyNumberFormat="1" applyFont="1" applyFill="1" applyBorder="1" applyAlignment="1" applyProtection="1">
      <alignment vertical="center" wrapText="1"/>
    </xf>
    <xf numFmtId="1" fontId="24" fillId="0" borderId="16" xfId="107" applyNumberFormat="1" applyFont="1" applyFill="1" applyBorder="1" applyAlignment="1" applyProtection="1">
      <alignment horizontal="center" vertical="center" wrapText="1"/>
    </xf>
    <xf numFmtId="168" fontId="18" fillId="0" borderId="76" xfId="107" applyNumberFormat="1" applyFont="1" applyFill="1" applyBorder="1" applyAlignment="1" applyProtection="1">
      <alignment horizontal="center" vertical="center" wrapText="1"/>
    </xf>
    <xf numFmtId="0" fontId="82" fillId="0" borderId="0" xfId="105" applyFont="1" applyFill="1"/>
    <xf numFmtId="168" fontId="11" fillId="0" borderId="52" xfId="102" applyNumberFormat="1" applyFont="1" applyFill="1" applyBorder="1" applyAlignment="1" applyProtection="1">
      <alignment horizontal="right" vertical="center" wrapText="1" indent="1"/>
    </xf>
    <xf numFmtId="168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7" xfId="0" applyNumberFormat="1" applyFont="1" applyFill="1" applyBorder="1" applyAlignment="1" applyProtection="1">
      <alignment horizontal="right" vertical="center" wrapText="1" indent="1"/>
      <protection locked="0"/>
    </xf>
    <xf numFmtId="168" fontId="28" fillId="0" borderId="16" xfId="0" applyNumberFormat="1" applyFont="1" applyFill="1" applyBorder="1" applyAlignment="1" applyProtection="1">
      <alignment vertical="center" wrapText="1"/>
      <protection locked="0"/>
    </xf>
    <xf numFmtId="0" fontId="7" fillId="0" borderId="12" xfId="107" applyFont="1" applyFill="1" applyBorder="1" applyAlignment="1" applyProtection="1">
      <alignment horizontal="left" vertical="center"/>
    </xf>
    <xf numFmtId="0" fontId="7" fillId="0" borderId="86" xfId="107" applyFont="1" applyFill="1" applyBorder="1" applyAlignment="1" applyProtection="1">
      <alignment vertical="center" wrapText="1"/>
    </xf>
    <xf numFmtId="0" fontId="7" fillId="0" borderId="16" xfId="107" applyFont="1" applyFill="1" applyBorder="1" applyAlignment="1" applyProtection="1">
      <alignment vertical="center" wrapText="1"/>
    </xf>
    <xf numFmtId="0" fontId="7" fillId="0" borderId="15" xfId="107" applyFont="1" applyFill="1" applyBorder="1" applyAlignment="1" applyProtection="1">
      <alignment horizontal="left" vertical="center"/>
    </xf>
    <xf numFmtId="0" fontId="24" fillId="0" borderId="0" xfId="117"/>
    <xf numFmtId="0" fontId="51" fillId="0" borderId="0" xfId="117" applyFont="1" applyAlignment="1">
      <alignment horizontal="center" wrapText="1"/>
    </xf>
    <xf numFmtId="0" fontId="24" fillId="0" borderId="0" xfId="117" applyProtection="1"/>
    <xf numFmtId="0" fontId="25" fillId="0" borderId="15" xfId="117" applyFont="1" applyBorder="1" applyAlignment="1" applyProtection="1">
      <alignment horizontal="right" vertical="center" indent="1"/>
    </xf>
    <xf numFmtId="0" fontId="24" fillId="0" borderId="0" xfId="117" applyFill="1"/>
    <xf numFmtId="3" fontId="25" fillId="0" borderId="45" xfId="117" applyNumberFormat="1" applyFont="1" applyBorder="1" applyAlignment="1" applyProtection="1">
      <alignment horizontal="right" vertical="center" indent="1"/>
      <protection locked="0"/>
    </xf>
    <xf numFmtId="0" fontId="77" fillId="0" borderId="0" xfId="117" applyFont="1" applyFill="1"/>
    <xf numFmtId="3" fontId="25" fillId="0" borderId="45" xfId="117" applyNumberFormat="1" applyFont="1" applyFill="1" applyBorder="1" applyAlignment="1" applyProtection="1">
      <alignment horizontal="right" vertical="center" indent="1"/>
      <protection locked="0"/>
    </xf>
    <xf numFmtId="3" fontId="25" fillId="0" borderId="48" xfId="117" applyNumberFormat="1" applyFont="1" applyBorder="1" applyAlignment="1" applyProtection="1">
      <alignment horizontal="right" vertical="center" indent="1"/>
      <protection locked="0"/>
    </xf>
    <xf numFmtId="168" fontId="5" fillId="23" borderId="54" xfId="117" applyNumberFormat="1" applyFont="1" applyFill="1" applyBorder="1" applyAlignment="1" applyProtection="1">
      <alignment horizontal="left" vertical="center" wrapText="1" indent="2"/>
    </xf>
    <xf numFmtId="3" fontId="6" fillId="0" borderId="52" xfId="117" applyNumberFormat="1" applyFont="1" applyFill="1" applyBorder="1" applyAlignment="1" applyProtection="1">
      <alignment horizontal="right" vertical="center" indent="1"/>
    </xf>
    <xf numFmtId="0" fontId="82" fillId="0" borderId="0" xfId="105" applyFont="1" applyFill="1" applyAlignment="1" applyProtection="1">
      <alignment horizontal="right"/>
    </xf>
    <xf numFmtId="3" fontId="58" fillId="24" borderId="43" xfId="106" applyNumberFormat="1" applyFont="1" applyFill="1" applyBorder="1" applyAlignment="1" applyProtection="1">
      <alignment horizontal="center" vertical="top" wrapText="1"/>
      <protection locked="0"/>
    </xf>
    <xf numFmtId="168" fontId="24" fillId="0" borderId="46" xfId="107" applyNumberFormat="1" applyFont="1" applyFill="1" applyBorder="1" applyAlignment="1" applyProtection="1">
      <alignment horizontal="left" vertical="center" wrapText="1" indent="1"/>
    </xf>
    <xf numFmtId="168" fontId="24" fillId="0" borderId="58" xfId="107" applyNumberFormat="1" applyFont="1" applyFill="1" applyBorder="1" applyAlignment="1" applyProtection="1">
      <alignment horizontal="left" vertical="center" wrapText="1" indent="1"/>
    </xf>
    <xf numFmtId="168" fontId="25" fillId="0" borderId="12" xfId="107" applyNumberFormat="1" applyFont="1" applyFill="1" applyBorder="1" applyAlignment="1" applyProtection="1">
      <alignment horizontal="left" vertical="center" wrapText="1" indent="1"/>
    </xf>
    <xf numFmtId="168" fontId="14" fillId="0" borderId="25" xfId="107" applyNumberFormat="1" applyFont="1" applyFill="1" applyBorder="1" applyAlignment="1" applyProtection="1">
      <alignment horizontal="right" vertical="center" wrapText="1" indent="1"/>
    </xf>
    <xf numFmtId="168" fontId="25" fillId="0" borderId="22" xfId="107" applyNumberFormat="1" applyFont="1" applyFill="1" applyBorder="1" applyAlignment="1" applyProtection="1">
      <alignment horizontal="left" vertical="center" wrapText="1" indent="1"/>
    </xf>
    <xf numFmtId="168" fontId="25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3" fontId="25" fillId="24" borderId="45" xfId="117" applyNumberFormat="1" applyFont="1" applyFill="1" applyBorder="1" applyAlignment="1" applyProtection="1">
      <alignment horizontal="right" vertical="center" indent="1"/>
      <protection locked="0"/>
    </xf>
    <xf numFmtId="0" fontId="24" fillId="24" borderId="0" xfId="117" applyFill="1"/>
    <xf numFmtId="166" fontId="25" fillId="24" borderId="32" xfId="66" applyNumberFormat="1" applyFont="1" applyFill="1" applyBorder="1" applyProtection="1">
      <protection locked="0"/>
    </xf>
    <xf numFmtId="168" fontId="11" fillId="0" borderId="25" xfId="102" applyNumberFormat="1" applyFont="1" applyFill="1" applyBorder="1" applyAlignment="1" applyProtection="1">
      <alignment horizontal="right" vertical="center" wrapText="1" indent="1"/>
    </xf>
    <xf numFmtId="168" fontId="25" fillId="0" borderId="16" xfId="102" applyNumberFormat="1" applyFont="1" applyFill="1" applyBorder="1" applyAlignment="1" applyProtection="1">
      <alignment horizontal="right" vertical="center" wrapText="1" indent="1"/>
    </xf>
    <xf numFmtId="0" fontId="53" fillId="0" borderId="21" xfId="107" applyFont="1" applyBorder="1" applyAlignment="1" applyProtection="1">
      <alignment horizontal="left" wrapText="1" indent="1"/>
    </xf>
    <xf numFmtId="168" fontId="25" fillId="0" borderId="21" xfId="102" applyNumberFormat="1" applyFont="1" applyFill="1" applyBorder="1" applyAlignment="1" applyProtection="1">
      <alignment horizontal="right" vertical="center" wrapText="1" indent="1"/>
    </xf>
    <xf numFmtId="168" fontId="25" fillId="0" borderId="38" xfId="102" applyNumberFormat="1" applyFont="1" applyFill="1" applyBorder="1" applyAlignment="1" applyProtection="1">
      <alignment horizontal="right" vertical="center" wrapText="1" indent="1"/>
    </xf>
    <xf numFmtId="0" fontId="53" fillId="0" borderId="28" xfId="107" applyFont="1" applyBorder="1" applyAlignment="1" applyProtection="1">
      <alignment horizontal="left" wrapText="1" indent="1"/>
    </xf>
    <xf numFmtId="167" fontId="6" fillId="0" borderId="29" xfId="107" applyNumberFormat="1" applyFont="1" applyFill="1" applyBorder="1" applyAlignment="1" applyProtection="1">
      <alignment vertical="center" wrapText="1"/>
    </xf>
    <xf numFmtId="167" fontId="6" fillId="0" borderId="28" xfId="66" applyNumberFormat="1" applyFont="1" applyFill="1" applyBorder="1" applyAlignment="1" applyProtection="1">
      <alignment vertical="center" wrapText="1"/>
    </xf>
    <xf numFmtId="167" fontId="7" fillId="0" borderId="45" xfId="107" applyNumberFormat="1" applyFont="1" applyFill="1" applyBorder="1" applyAlignment="1" applyProtection="1">
      <alignment vertical="center" wrapText="1"/>
      <protection locked="0"/>
    </xf>
    <xf numFmtId="167" fontId="7" fillId="0" borderId="16" xfId="107" applyNumberFormat="1" applyFont="1" applyFill="1" applyBorder="1" applyAlignment="1" applyProtection="1">
      <alignment vertical="center" wrapText="1"/>
      <protection locked="0"/>
    </xf>
    <xf numFmtId="167" fontId="7" fillId="0" borderId="67" xfId="107" applyNumberFormat="1" applyFont="1" applyFill="1" applyBorder="1" applyAlignment="1" applyProtection="1">
      <alignment vertical="center" wrapText="1"/>
      <protection locked="0"/>
    </xf>
    <xf numFmtId="167" fontId="7" fillId="0" borderId="25" xfId="107" applyNumberFormat="1" applyFont="1" applyFill="1" applyBorder="1" applyAlignment="1" applyProtection="1">
      <alignment vertical="center" wrapText="1"/>
      <protection locked="0"/>
    </xf>
    <xf numFmtId="167" fontId="7" fillId="0" borderId="36" xfId="107" applyNumberFormat="1" applyFont="1" applyFill="1" applyBorder="1" applyAlignment="1" applyProtection="1">
      <alignment vertical="center" wrapText="1"/>
      <protection locked="0"/>
    </xf>
    <xf numFmtId="167" fontId="7" fillId="0" borderId="11" xfId="107" applyNumberFormat="1" applyFont="1" applyFill="1" applyBorder="1" applyAlignment="1" applyProtection="1">
      <alignment vertical="center" wrapText="1"/>
      <protection locked="0"/>
    </xf>
    <xf numFmtId="168" fontId="25" fillId="0" borderId="45" xfId="107" quotePrefix="1" applyNumberFormat="1" applyFont="1" applyFill="1" applyBorder="1" applyAlignment="1" applyProtection="1">
      <alignment horizontal="right" vertical="center" wrapText="1" indent="2"/>
      <protection locked="0"/>
    </xf>
    <xf numFmtId="168" fontId="25" fillId="0" borderId="21" xfId="0" applyNumberFormat="1" applyFont="1" applyFill="1" applyBorder="1" applyAlignment="1" applyProtection="1">
      <alignment vertical="center" wrapText="1"/>
      <protection locked="0"/>
    </xf>
    <xf numFmtId="49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16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45" xfId="107" applyNumberFormat="1" applyFont="1" applyFill="1" applyBorder="1" applyAlignment="1" applyProtection="1">
      <alignment vertical="center" wrapText="1"/>
    </xf>
    <xf numFmtId="0" fontId="58" fillId="0" borderId="0" xfId="105" applyFill="1" applyBorder="1" applyProtection="1"/>
    <xf numFmtId="0" fontId="54" fillId="0" borderId="0" xfId="105" applyFont="1" applyFill="1" applyBorder="1" applyAlignment="1" applyProtection="1">
      <alignment horizontal="center" vertical="center" wrapText="1"/>
    </xf>
    <xf numFmtId="0" fontId="58" fillId="0" borderId="0" xfId="105" applyFill="1" applyBorder="1" applyAlignment="1" applyProtection="1">
      <alignment horizontal="center" vertical="center"/>
    </xf>
    <xf numFmtId="173" fontId="67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6" fillId="0" borderId="0" xfId="105" applyNumberFormat="1" applyFont="1" applyFill="1" applyBorder="1" applyAlignment="1" applyProtection="1">
      <alignment horizontal="right" vertical="center" wrapText="1"/>
      <protection locked="0"/>
    </xf>
    <xf numFmtId="0" fontId="58" fillId="0" borderId="0" xfId="105" applyFill="1" applyBorder="1" applyAlignment="1" applyProtection="1">
      <alignment vertical="center"/>
    </xf>
    <xf numFmtId="173" fontId="67" fillId="0" borderId="0" xfId="105" applyNumberFormat="1" applyFont="1" applyFill="1" applyBorder="1" applyAlignment="1" applyProtection="1">
      <alignment horizontal="right" vertical="center" wrapText="1"/>
    </xf>
    <xf numFmtId="173" fontId="56" fillId="0" borderId="0" xfId="105" applyNumberFormat="1" applyFont="1" applyFill="1" applyBorder="1" applyAlignment="1" applyProtection="1">
      <alignment horizontal="right" vertical="center" wrapText="1"/>
    </xf>
    <xf numFmtId="173" fontId="54" fillId="24" borderId="16" xfId="105" applyNumberFormat="1" applyFont="1" applyFill="1" applyBorder="1" applyAlignment="1" applyProtection="1">
      <alignment horizontal="right" vertical="center" wrapText="1"/>
      <protection locked="0"/>
    </xf>
    <xf numFmtId="173" fontId="69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4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0" xfId="105" applyNumberFormat="1" applyFont="1" applyFill="1" applyBorder="1" applyAlignment="1" applyProtection="1">
      <alignment horizontal="right" vertical="center" wrapText="1"/>
    </xf>
    <xf numFmtId="173" fontId="53" fillId="24" borderId="16" xfId="105" applyNumberFormat="1" applyFont="1" applyFill="1" applyBorder="1" applyAlignment="1" applyProtection="1">
      <alignment horizontal="right" vertical="center" wrapText="1"/>
      <protection locked="0"/>
    </xf>
    <xf numFmtId="173" fontId="84" fillId="0" borderId="0" xfId="105" applyNumberFormat="1" applyFont="1" applyFill="1" applyBorder="1" applyAlignment="1" applyProtection="1">
      <alignment horizontal="right" vertical="center" wrapText="1"/>
      <protection locked="0"/>
    </xf>
    <xf numFmtId="173" fontId="56" fillId="24" borderId="0" xfId="105" applyNumberFormat="1" applyFont="1" applyFill="1" applyBorder="1" applyAlignment="1" applyProtection="1">
      <alignment horizontal="right" vertical="center" wrapText="1"/>
      <protection locked="0"/>
    </xf>
    <xf numFmtId="171" fontId="10" fillId="0" borderId="36" xfId="104" applyNumberFormat="1" applyFont="1" applyFill="1" applyBorder="1" applyAlignment="1" applyProtection="1">
      <alignment horizontal="right" vertical="center"/>
    </xf>
    <xf numFmtId="168" fontId="10" fillId="0" borderId="41" xfId="102" applyNumberFormat="1" applyFont="1" applyFill="1" applyBorder="1" applyAlignment="1" applyProtection="1">
      <alignment horizontal="right" vertical="center" wrapText="1" indent="1"/>
    </xf>
    <xf numFmtId="0" fontId="56" fillId="0" borderId="77" xfId="107" applyFont="1" applyBorder="1" applyAlignment="1" applyProtection="1">
      <alignment horizontal="left" vertical="center" wrapText="1" indent="1"/>
    </xf>
    <xf numFmtId="168" fontId="25" fillId="0" borderId="28" xfId="102" applyNumberFormat="1" applyFont="1" applyFill="1" applyBorder="1" applyAlignment="1" applyProtection="1">
      <alignment horizontal="right" vertical="center" wrapText="1" indent="1"/>
    </xf>
    <xf numFmtId="0" fontId="10" fillId="0" borderId="66" xfId="102" applyFont="1" applyFill="1" applyBorder="1" applyAlignment="1" applyProtection="1">
      <alignment horizontal="left" vertical="center" wrapText="1" indent="1"/>
    </xf>
    <xf numFmtId="168" fontId="25" fillId="0" borderId="87" xfId="102" applyNumberFormat="1" applyFont="1" applyFill="1" applyBorder="1" applyAlignment="1" applyProtection="1">
      <alignment horizontal="right" vertical="center" wrapText="1" indent="1"/>
    </xf>
    <xf numFmtId="168" fontId="25" fillId="0" borderId="47" xfId="102" applyNumberFormat="1" applyFont="1" applyFill="1" applyBorder="1" applyAlignment="1" applyProtection="1">
      <alignment horizontal="right" vertical="center" wrapText="1" indent="1"/>
    </xf>
    <xf numFmtId="168" fontId="25" fillId="0" borderId="78" xfId="102" applyNumberFormat="1" applyFont="1" applyFill="1" applyBorder="1" applyAlignment="1" applyProtection="1">
      <alignment horizontal="right" vertical="center" wrapText="1" indent="1"/>
    </xf>
    <xf numFmtId="168" fontId="25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76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77" xfId="102" applyNumberFormat="1" applyFont="1" applyFill="1" applyBorder="1" applyAlignment="1" applyProtection="1">
      <alignment horizontal="right" vertical="center" wrapText="1" indent="1"/>
    </xf>
    <xf numFmtId="168" fontId="25" fillId="0" borderId="87" xfId="0" applyNumberFormat="1" applyFont="1" applyFill="1" applyBorder="1" applyAlignment="1" applyProtection="1">
      <alignment horizontal="right" vertical="center" wrapText="1" indent="1"/>
      <protection locked="0"/>
    </xf>
    <xf numFmtId="168" fontId="18" fillId="0" borderId="76" xfId="103" quotePrefix="1" applyNumberFormat="1" applyFont="1" applyFill="1" applyBorder="1" applyAlignment="1">
      <alignment horizontal="center" vertical="center"/>
    </xf>
    <xf numFmtId="168" fontId="18" fillId="0" borderId="28" xfId="103" quotePrefix="1" applyNumberFormat="1" applyFont="1" applyFill="1" applyBorder="1" applyAlignment="1">
      <alignment horizontal="center" vertical="center"/>
    </xf>
    <xf numFmtId="168" fontId="25" fillId="0" borderId="43" xfId="0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63" xfId="0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2" xfId="107" applyNumberFormat="1" applyFont="1" applyFill="1" applyBorder="1" applyAlignment="1" applyProtection="1">
      <alignment horizontal="left" vertical="center" wrapText="1" indent="1"/>
      <protection locked="0"/>
    </xf>
    <xf numFmtId="168" fontId="9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0" xfId="107" applyNumberFormat="1" applyFont="1" applyFill="1" applyBorder="1" applyAlignment="1" applyProtection="1">
      <alignment horizontal="left" vertical="center" wrapText="1" indent="1"/>
    </xf>
    <xf numFmtId="0" fontId="81" fillId="0" borderId="42" xfId="126" applyFont="1" applyFill="1" applyBorder="1" applyAlignment="1">
      <alignment vertical="center" wrapText="1"/>
    </xf>
    <xf numFmtId="168" fontId="25" fillId="0" borderId="74" xfId="0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6" xfId="107" quotePrefix="1" applyFont="1" applyBorder="1" applyAlignment="1" applyProtection="1">
      <alignment horizontal="left" wrapText="1" indent="1"/>
    </xf>
    <xf numFmtId="168" fontId="11" fillId="0" borderId="36" xfId="102" applyNumberFormat="1" applyFont="1" applyFill="1" applyBorder="1" applyAlignment="1" applyProtection="1">
      <alignment horizontal="right" vertical="center" wrapText="1" indent="1"/>
    </xf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11" fillId="0" borderId="36" xfId="102" applyNumberFormat="1" applyFont="1" applyFill="1" applyBorder="1" applyAlignment="1" applyProtection="1">
      <alignment horizontal="right" vertical="center" wrapText="1" indent="1"/>
    </xf>
    <xf numFmtId="168" fontId="25" fillId="0" borderId="36" xfId="102" applyNumberFormat="1" applyFont="1" applyFill="1" applyBorder="1" applyAlignment="1" applyProtection="1">
      <alignment horizontal="right" vertical="center" wrapText="1" indent="1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11" fillId="0" borderId="41" xfId="102" applyNumberFormat="1" applyFont="1" applyFill="1" applyBorder="1" applyAlignment="1" applyProtection="1">
      <alignment horizontal="right" vertical="center" wrapText="1" indent="1"/>
    </xf>
    <xf numFmtId="168" fontId="24" fillId="0" borderId="16" xfId="0" quotePrefix="1" applyNumberFormat="1" applyFont="1" applyFill="1" applyBorder="1" applyAlignment="1" applyProtection="1">
      <alignment vertical="center" wrapText="1"/>
      <protection locked="0"/>
    </xf>
    <xf numFmtId="168" fontId="5" fillId="0" borderId="47" xfId="107" applyNumberFormat="1" applyFont="1" applyFill="1" applyBorder="1" applyAlignment="1" applyProtection="1">
      <alignment vertical="center" wrapText="1"/>
      <protection locked="0"/>
    </xf>
    <xf numFmtId="168" fontId="24" fillId="0" borderId="16" xfId="0" applyNumberFormat="1" applyFont="1" applyFill="1" applyBorder="1" applyAlignment="1" applyProtection="1">
      <alignment vertical="center" wrapText="1"/>
      <protection locked="0"/>
    </xf>
    <xf numFmtId="168" fontId="5" fillId="0" borderId="16" xfId="0" quotePrefix="1" applyNumberFormat="1" applyFont="1" applyFill="1" applyBorder="1" applyAlignment="1" applyProtection="1">
      <alignment vertical="center" wrapText="1"/>
      <protection locked="0"/>
    </xf>
    <xf numFmtId="168" fontId="5" fillId="0" borderId="18" xfId="0" quotePrefix="1" applyNumberFormat="1" applyFont="1" applyFill="1" applyBorder="1" applyAlignment="1" applyProtection="1">
      <alignment vertical="center" wrapText="1"/>
      <protection locked="0"/>
    </xf>
    <xf numFmtId="168" fontId="24" fillId="0" borderId="42" xfId="126" applyNumberFormat="1" applyFont="1" applyFill="1" applyBorder="1" applyAlignment="1" applyProtection="1">
      <alignment horizontal="left" vertical="center" wrapText="1"/>
      <protection locked="0"/>
    </xf>
    <xf numFmtId="168" fontId="24" fillId="0" borderId="20" xfId="126" applyNumberFormat="1" applyFont="1" applyFill="1" applyBorder="1" applyAlignment="1" applyProtection="1">
      <alignment vertical="center" wrapText="1"/>
      <protection locked="0"/>
    </xf>
    <xf numFmtId="49" fontId="24" fillId="0" borderId="21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21" xfId="0" applyNumberFormat="1" applyFont="1" applyFill="1" applyBorder="1" applyAlignment="1" applyProtection="1">
      <alignment vertical="center" wrapText="1"/>
      <protection locked="0"/>
    </xf>
    <xf numFmtId="168" fontId="24" fillId="0" borderId="17" xfId="126" applyNumberFormat="1" applyFont="1" applyFill="1" applyBorder="1" applyAlignment="1" applyProtection="1">
      <alignment vertical="center" wrapText="1"/>
      <protection locked="0"/>
    </xf>
    <xf numFmtId="49" fontId="24" fillId="0" borderId="18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18" xfId="0" applyNumberFormat="1" applyFont="1" applyFill="1" applyBorder="1" applyAlignment="1" applyProtection="1">
      <alignment vertical="center" wrapText="1"/>
      <protection locked="0"/>
    </xf>
    <xf numFmtId="168" fontId="24" fillId="0" borderId="44" xfId="126" applyNumberFormat="1" applyFont="1" applyFill="1" applyBorder="1" applyAlignment="1" applyProtection="1">
      <alignment horizontal="left" vertical="center" wrapText="1"/>
      <protection locked="0"/>
    </xf>
    <xf numFmtId="168" fontId="24" fillId="0" borderId="15" xfId="126" applyNumberFormat="1" applyFont="1" applyFill="1" applyBorder="1" applyAlignment="1" applyProtection="1">
      <alignment vertical="center" wrapText="1"/>
      <protection locked="0"/>
    </xf>
    <xf numFmtId="49" fontId="24" fillId="0" borderId="16" xfId="0" applyNumberFormat="1" applyFont="1" applyFill="1" applyBorder="1" applyAlignment="1" applyProtection="1">
      <alignment horizontal="center" vertical="center" wrapText="1"/>
      <protection locked="0"/>
    </xf>
    <xf numFmtId="168" fontId="24" fillId="0" borderId="49" xfId="126" applyNumberFormat="1" applyFont="1" applyFill="1" applyBorder="1" applyAlignment="1" applyProtection="1">
      <alignment horizontal="left" vertical="center" wrapText="1"/>
      <protection locked="0"/>
    </xf>
    <xf numFmtId="168" fontId="5" fillId="0" borderId="44" xfId="126" applyNumberFormat="1" applyFont="1" applyFill="1" applyBorder="1" applyAlignment="1" applyProtection="1">
      <alignment horizontal="left" vertical="center" wrapText="1"/>
      <protection locked="0"/>
    </xf>
    <xf numFmtId="168" fontId="5" fillId="0" borderId="15" xfId="126" applyNumberFormat="1" applyFont="1" applyFill="1" applyBorder="1" applyAlignment="1" applyProtection="1">
      <alignment vertical="center" wrapText="1"/>
      <protection locked="0"/>
    </xf>
    <xf numFmtId="168" fontId="5" fillId="0" borderId="17" xfId="126" applyNumberFormat="1" applyFont="1" applyFill="1" applyBorder="1" applyAlignment="1" applyProtection="1">
      <alignment vertical="center" wrapText="1"/>
      <protection locked="0"/>
    </xf>
    <xf numFmtId="0" fontId="24" fillId="0" borderId="45" xfId="102" applyFont="1" applyFill="1" applyBorder="1" applyAlignment="1" applyProtection="1">
      <alignment wrapText="1"/>
      <protection locked="0"/>
    </xf>
    <xf numFmtId="0" fontId="24" fillId="0" borderId="15" xfId="102" applyFont="1" applyFill="1" applyBorder="1" applyAlignment="1" applyProtection="1">
      <alignment horizontal="left" wrapText="1"/>
      <protection locked="0"/>
    </xf>
    <xf numFmtId="0" fontId="24" fillId="0" borderId="44" xfId="102" applyFont="1" applyFill="1" applyBorder="1" applyAlignment="1" applyProtection="1">
      <alignment wrapText="1"/>
      <protection locked="0"/>
    </xf>
    <xf numFmtId="0" fontId="81" fillId="0" borderId="44" xfId="126" applyFont="1" applyFill="1" applyBorder="1" applyAlignment="1">
      <alignment vertical="center" wrapText="1"/>
    </xf>
    <xf numFmtId="168" fontId="24" fillId="0" borderId="20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15" xfId="126" applyNumberFormat="1" applyFont="1" applyFill="1" applyBorder="1" applyAlignment="1" applyProtection="1">
      <alignment horizontal="left" vertical="center" wrapText="1"/>
      <protection locked="0"/>
    </xf>
    <xf numFmtId="168" fontId="24" fillId="0" borderId="15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19" xfId="126" applyNumberFormat="1" applyFont="1" applyFill="1" applyBorder="1" applyAlignment="1" applyProtection="1">
      <alignment horizontal="left" vertical="center" wrapText="1"/>
      <protection locked="0"/>
    </xf>
    <xf numFmtId="168" fontId="28" fillId="0" borderId="13" xfId="126" applyNumberFormat="1" applyFont="1" applyFill="1" applyBorder="1" applyAlignment="1" applyProtection="1">
      <alignment horizontal="left" vertical="center" wrapText="1"/>
      <protection locked="0"/>
    </xf>
    <xf numFmtId="168" fontId="25" fillId="24" borderId="21" xfId="126" applyNumberFormat="1" applyFont="1" applyFill="1" applyBorder="1" applyAlignment="1" applyProtection="1">
      <alignment vertical="center" wrapText="1"/>
      <protection locked="0"/>
    </xf>
    <xf numFmtId="168" fontId="28" fillId="0" borderId="16" xfId="126" applyNumberFormat="1" applyFont="1" applyFill="1" applyBorder="1" applyAlignment="1" applyProtection="1">
      <alignment vertical="center" wrapText="1"/>
      <protection locked="0"/>
    </xf>
    <xf numFmtId="168" fontId="25" fillId="0" borderId="16" xfId="126" applyNumberFormat="1" applyFont="1" applyFill="1" applyBorder="1" applyAlignment="1" applyProtection="1">
      <alignment vertical="center" wrapText="1"/>
      <protection locked="0"/>
    </xf>
    <xf numFmtId="168" fontId="28" fillId="0" borderId="24" xfId="126" applyNumberFormat="1" applyFont="1" applyFill="1" applyBorder="1" applyAlignment="1" applyProtection="1">
      <alignment vertical="center" wrapText="1"/>
      <protection locked="0"/>
    </xf>
    <xf numFmtId="49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168" fontId="28" fillId="0" borderId="14" xfId="126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Alignment="1" applyProtection="1">
      <alignment horizontal="center" vertical="center" wrapText="1"/>
      <protection locked="0"/>
    </xf>
    <xf numFmtId="168" fontId="28" fillId="0" borderId="24" xfId="0" applyNumberFormat="1" applyFont="1" applyFill="1" applyBorder="1" applyAlignment="1" applyProtection="1">
      <alignment vertical="center" wrapText="1"/>
      <protection locked="0"/>
    </xf>
    <xf numFmtId="168" fontId="28" fillId="0" borderId="14" xfId="0" applyNumberFormat="1" applyFont="1" applyFill="1" applyBorder="1" applyAlignment="1" applyProtection="1">
      <alignment vertical="center" wrapText="1"/>
      <protection locked="0"/>
    </xf>
    <xf numFmtId="168" fontId="25" fillId="0" borderId="87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7" xfId="102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6" xfId="107" applyFont="1" applyFill="1" applyBorder="1" applyAlignment="1" applyProtection="1">
      <alignment horizontal="center" vertical="center" wrapText="1"/>
    </xf>
    <xf numFmtId="0" fontId="18" fillId="0" borderId="25" xfId="107" applyFont="1" applyFill="1" applyBorder="1" applyAlignment="1" applyProtection="1">
      <alignment horizontal="center" vertical="center" wrapText="1"/>
    </xf>
    <xf numFmtId="168" fontId="8" fillId="0" borderId="0" xfId="107" applyNumberFormat="1" applyFont="1" applyFill="1" applyAlignment="1">
      <alignment textRotation="180" wrapText="1"/>
    </xf>
    <xf numFmtId="168" fontId="10" fillId="0" borderId="26" xfId="107" applyNumberFormat="1" applyFont="1" applyFill="1" applyBorder="1" applyAlignment="1" applyProtection="1">
      <alignment horizontal="center" vertical="center" wrapText="1"/>
    </xf>
    <xf numFmtId="168" fontId="23" fillId="0" borderId="20" xfId="107" applyNumberFormat="1" applyFont="1" applyFill="1" applyBorder="1" applyAlignment="1" applyProtection="1">
      <alignment horizontal="right" vertical="center" wrapText="1" indent="1"/>
    </xf>
    <xf numFmtId="168" fontId="51" fillId="0" borderId="21" xfId="107" applyNumberFormat="1" applyFont="1" applyFill="1" applyBorder="1" applyAlignment="1" applyProtection="1">
      <alignment horizontal="left" vertical="center" wrapText="1" indent="1"/>
    </xf>
    <xf numFmtId="1" fontId="51" fillId="21" borderId="21" xfId="107" applyNumberFormat="1" applyFont="1" applyFill="1" applyBorder="1" applyAlignment="1" applyProtection="1">
      <alignment horizontal="center" vertical="center" wrapText="1"/>
    </xf>
    <xf numFmtId="168" fontId="51" fillId="0" borderId="21" xfId="107" applyNumberFormat="1" applyFont="1" applyFill="1" applyBorder="1" applyAlignment="1" applyProtection="1">
      <alignment vertical="center" wrapText="1"/>
    </xf>
    <xf numFmtId="3" fontId="51" fillId="0" borderId="21" xfId="107" applyNumberFormat="1" applyFont="1" applyFill="1" applyBorder="1" applyAlignment="1" applyProtection="1">
      <alignment vertical="center" wrapText="1"/>
    </xf>
    <xf numFmtId="3" fontId="51" fillId="0" borderId="74" xfId="107" applyNumberFormat="1" applyFont="1" applyFill="1" applyBorder="1" applyAlignment="1" applyProtection="1">
      <alignment vertical="center" wrapText="1"/>
    </xf>
    <xf numFmtId="3" fontId="51" fillId="0" borderId="57" xfId="107" applyNumberFormat="1" applyFont="1" applyFill="1" applyBorder="1" applyAlignment="1" applyProtection="1">
      <alignment vertical="center" wrapText="1"/>
    </xf>
    <xf numFmtId="168" fontId="23" fillId="0" borderId="15" xfId="107" applyNumberFormat="1" applyFont="1" applyFill="1" applyBorder="1" applyAlignment="1" applyProtection="1">
      <alignment horizontal="right" vertical="center" wrapText="1" indent="1"/>
    </xf>
    <xf numFmtId="168" fontId="26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" fontId="26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26" fillId="0" borderId="16" xfId="107" applyNumberFormat="1" applyFont="1" applyFill="1" applyBorder="1" applyAlignment="1" applyProtection="1">
      <alignment vertical="center" wrapText="1"/>
      <protection locked="0"/>
    </xf>
    <xf numFmtId="3" fontId="26" fillId="0" borderId="16" xfId="107" applyNumberFormat="1" applyFont="1" applyFill="1" applyBorder="1" applyAlignment="1" applyProtection="1">
      <alignment vertical="center" wrapText="1"/>
      <protection locked="0"/>
    </xf>
    <xf numFmtId="3" fontId="26" fillId="0" borderId="47" xfId="107" applyNumberFormat="1" applyFont="1" applyFill="1" applyBorder="1" applyAlignment="1" applyProtection="1">
      <alignment vertical="center" wrapText="1"/>
      <protection locked="0"/>
    </xf>
    <xf numFmtId="3" fontId="26" fillId="0" borderId="44" xfId="107" applyNumberFormat="1" applyFont="1" applyFill="1" applyBorder="1" applyAlignment="1" applyProtection="1">
      <alignment vertical="center" wrapText="1"/>
    </xf>
    <xf numFmtId="168" fontId="51" fillId="0" borderId="16" xfId="107" applyNumberFormat="1" applyFont="1" applyFill="1" applyBorder="1" applyAlignment="1" applyProtection="1">
      <alignment horizontal="left" vertical="center" wrapText="1" indent="1"/>
    </xf>
    <xf numFmtId="1" fontId="51" fillId="21" borderId="16" xfId="107" applyNumberFormat="1" applyFont="1" applyFill="1" applyBorder="1" applyAlignment="1" applyProtection="1">
      <alignment horizontal="center" vertical="center" wrapText="1"/>
    </xf>
    <xf numFmtId="3" fontId="51" fillId="0" borderId="16" xfId="107" applyNumberFormat="1" applyFont="1" applyFill="1" applyBorder="1" applyAlignment="1" applyProtection="1">
      <alignment vertical="center" wrapText="1"/>
    </xf>
    <xf numFmtId="168" fontId="51" fillId="0" borderId="16" xfId="107" applyNumberFormat="1" applyFont="1" applyFill="1" applyBorder="1" applyAlignment="1" applyProtection="1">
      <alignment vertical="center" wrapText="1"/>
    </xf>
    <xf numFmtId="168" fontId="51" fillId="0" borderId="44" xfId="107" applyNumberFormat="1" applyFont="1" applyFill="1" applyBorder="1" applyAlignment="1" applyProtection="1">
      <alignment vertical="center" wrapText="1"/>
    </xf>
    <xf numFmtId="168" fontId="26" fillId="0" borderId="81" xfId="107" applyNumberFormat="1" applyFont="1" applyFill="1" applyBorder="1" applyAlignment="1" applyProtection="1">
      <alignment horizontal="left" vertical="center" wrapText="1" indent="1"/>
    </xf>
    <xf numFmtId="3" fontId="26" fillId="0" borderId="16" xfId="107" applyNumberFormat="1" applyFont="1" applyFill="1" applyBorder="1" applyAlignment="1" applyProtection="1">
      <alignment horizontal="center" vertical="center" wrapText="1"/>
      <protection locked="0"/>
    </xf>
    <xf numFmtId="1" fontId="26" fillId="0" borderId="16" xfId="107" applyNumberFormat="1" applyFont="1" applyFill="1" applyBorder="1" applyAlignment="1" applyProtection="1">
      <alignment vertical="center" wrapText="1"/>
      <protection locked="0"/>
    </xf>
    <xf numFmtId="3" fontId="51" fillId="0" borderId="44" xfId="107" applyNumberFormat="1" applyFont="1" applyFill="1" applyBorder="1" applyAlignment="1" applyProtection="1">
      <alignment vertical="center" wrapText="1"/>
    </xf>
    <xf numFmtId="168" fontId="89" fillId="0" borderId="81" xfId="107" applyNumberFormat="1" applyFont="1" applyFill="1" applyBorder="1" applyAlignment="1" applyProtection="1">
      <alignment horizontal="left" vertical="center" wrapText="1" indent="1"/>
    </xf>
    <xf numFmtId="1" fontId="22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89" fillId="0" borderId="81" xfId="126" applyNumberFormat="1" applyFont="1" applyFill="1" applyBorder="1" applyAlignment="1" applyProtection="1">
      <alignment horizontal="left" vertical="center" wrapText="1" indent="1"/>
      <protection locked="0"/>
    </xf>
    <xf numFmtId="0" fontId="89" fillId="0" borderId="16" xfId="102" applyFont="1" applyFill="1" applyBorder="1" applyAlignment="1" applyProtection="1">
      <alignment horizontal="center" wrapText="1"/>
      <protection locked="0"/>
    </xf>
    <xf numFmtId="169" fontId="22" fillId="0" borderId="16" xfId="126" applyNumberFormat="1" applyFont="1" applyFill="1" applyBorder="1" applyAlignment="1" applyProtection="1">
      <alignment horizontal="center" vertical="center" wrapText="1"/>
      <protection locked="0"/>
    </xf>
    <xf numFmtId="0" fontId="89" fillId="0" borderId="14" xfId="102" applyFont="1" applyFill="1" applyBorder="1" applyAlignment="1" applyProtection="1">
      <alignment horizontal="center" wrapText="1"/>
      <protection locked="0"/>
    </xf>
    <xf numFmtId="169" fontId="22" fillId="0" borderId="14" xfId="126" applyNumberFormat="1" applyFont="1" applyFill="1" applyBorder="1" applyAlignment="1" applyProtection="1">
      <alignment horizontal="center" vertical="center" wrapText="1"/>
      <protection locked="0"/>
    </xf>
    <xf numFmtId="0" fontId="22" fillId="0" borderId="16" xfId="102" applyFont="1" applyFill="1" applyBorder="1" applyAlignment="1" applyProtection="1">
      <alignment horizontal="center" wrapText="1"/>
      <protection locked="0"/>
    </xf>
    <xf numFmtId="0" fontId="22" fillId="0" borderId="14" xfId="102" applyFont="1" applyFill="1" applyBorder="1" applyAlignment="1" applyProtection="1">
      <alignment horizontal="center" wrapText="1"/>
      <protection locked="0"/>
    </xf>
    <xf numFmtId="3" fontId="22" fillId="0" borderId="16" xfId="107" applyNumberFormat="1" applyFont="1" applyFill="1" applyBorder="1" applyAlignment="1" applyProtection="1">
      <alignment horizontal="center" vertical="center" wrapText="1"/>
      <protection locked="0"/>
    </xf>
    <xf numFmtId="3" fontId="22" fillId="0" borderId="16" xfId="107" applyNumberFormat="1" applyFont="1" applyFill="1" applyBorder="1" applyAlignment="1" applyProtection="1">
      <alignment vertical="center" wrapText="1"/>
      <protection locked="0"/>
    </xf>
    <xf numFmtId="3" fontId="22" fillId="0" borderId="47" xfId="107" applyNumberFormat="1" applyFont="1" applyFill="1" applyBorder="1" applyAlignment="1" applyProtection="1">
      <alignment vertical="center" wrapText="1"/>
      <protection locked="0"/>
    </xf>
    <xf numFmtId="3" fontId="23" fillId="0" borderId="44" xfId="107" applyNumberFormat="1" applyFont="1" applyFill="1" applyBorder="1" applyAlignment="1" applyProtection="1">
      <alignment vertical="center" wrapText="1"/>
    </xf>
    <xf numFmtId="168" fontId="22" fillId="0" borderId="16" xfId="107" applyNumberFormat="1" applyFont="1" applyFill="1" applyBorder="1" applyAlignment="1" applyProtection="1">
      <alignment horizontal="center" vertical="center" wrapText="1"/>
      <protection locked="0"/>
    </xf>
    <xf numFmtId="168" fontId="23" fillId="0" borderId="44" xfId="107" applyNumberFormat="1" applyFont="1" applyFill="1" applyBorder="1" applyAlignment="1" applyProtection="1">
      <alignment vertical="center" wrapText="1"/>
    </xf>
    <xf numFmtId="168" fontId="10" fillId="0" borderId="15" xfId="107" applyNumberFormat="1" applyFont="1" applyFill="1" applyBorder="1" applyAlignment="1" applyProtection="1">
      <alignment horizontal="right" vertical="center" wrapText="1" indent="1"/>
    </xf>
    <xf numFmtId="168" fontId="23" fillId="0" borderId="16" xfId="107" applyNumberFormat="1" applyFont="1" applyFill="1" applyBorder="1" applyAlignment="1" applyProtection="1">
      <alignment horizontal="left" vertical="center" wrapText="1" indent="1"/>
    </xf>
    <xf numFmtId="168" fontId="28" fillId="0" borderId="81" xfId="126" applyNumberFormat="1" applyFont="1" applyFill="1" applyBorder="1" applyAlignment="1" applyProtection="1">
      <alignment horizontal="left" vertical="center" wrapText="1" indent="1"/>
      <protection locked="0"/>
    </xf>
    <xf numFmtId="168" fontId="11" fillId="0" borderId="16" xfId="107" quotePrefix="1" applyNumberFormat="1" applyFont="1" applyFill="1" applyBorder="1" applyAlignment="1" applyProtection="1">
      <alignment vertical="center" wrapText="1"/>
    </xf>
    <xf numFmtId="168" fontId="25" fillId="0" borderId="44" xfId="107" applyNumberFormat="1" applyFont="1" applyFill="1" applyBorder="1" applyAlignment="1" applyProtection="1">
      <alignment vertical="center" wrapText="1"/>
    </xf>
    <xf numFmtId="168" fontId="22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68" fontId="23" fillId="0" borderId="14" xfId="107" applyNumberFormat="1" applyFont="1" applyFill="1" applyBorder="1" applyAlignment="1" applyProtection="1">
      <alignment horizontal="left" vertical="center" wrapText="1" indent="1"/>
    </xf>
    <xf numFmtId="168" fontId="10" fillId="0" borderId="22" xfId="107" applyNumberFormat="1" applyFont="1" applyFill="1" applyBorder="1" applyAlignment="1" applyProtection="1">
      <alignment horizontal="right" vertical="center" wrapText="1" indent="1"/>
    </xf>
    <xf numFmtId="168" fontId="9" fillId="0" borderId="16" xfId="107" applyNumberFormat="1" applyFont="1" applyFill="1" applyBorder="1" applyAlignment="1" applyProtection="1">
      <alignment horizontal="left" vertical="center" wrapText="1" indent="1"/>
      <protection locked="0"/>
    </xf>
    <xf numFmtId="168" fontId="10" fillId="0" borderId="17" xfId="107" applyNumberFormat="1" applyFont="1" applyFill="1" applyBorder="1" applyAlignment="1" applyProtection="1">
      <alignment horizontal="right" vertical="center" wrapText="1" indent="1"/>
    </xf>
    <xf numFmtId="168" fontId="23" fillId="0" borderId="11" xfId="107" applyNumberFormat="1" applyFont="1" applyFill="1" applyBorder="1" applyAlignment="1" applyProtection="1">
      <alignment horizontal="left" vertical="center" wrapText="1" indent="1"/>
    </xf>
    <xf numFmtId="168" fontId="51" fillId="0" borderId="11" xfId="107" applyNumberFormat="1" applyFont="1" applyFill="1" applyBorder="1" applyAlignment="1" applyProtection="1">
      <alignment vertical="center" wrapText="1"/>
    </xf>
    <xf numFmtId="168" fontId="51" fillId="0" borderId="77" xfId="107" applyNumberFormat="1" applyFont="1" applyFill="1" applyBorder="1" applyAlignment="1" applyProtection="1">
      <alignment vertical="center" wrapText="1"/>
    </xf>
    <xf numFmtId="168" fontId="51" fillId="0" borderId="41" xfId="107" applyNumberFormat="1" applyFont="1" applyFill="1" applyBorder="1" applyAlignment="1" applyProtection="1">
      <alignment vertical="center" wrapText="1"/>
    </xf>
    <xf numFmtId="168" fontId="90" fillId="0" borderId="20" xfId="99" applyNumberFormat="1" applyFont="1" applyFill="1" applyBorder="1" applyAlignment="1" applyProtection="1">
      <alignment horizontal="left" vertical="center" wrapText="1"/>
      <protection locked="0"/>
    </xf>
    <xf numFmtId="168" fontId="90" fillId="0" borderId="21" xfId="99" applyNumberFormat="1" applyFont="1" applyFill="1" applyBorder="1" applyAlignment="1" applyProtection="1">
      <alignment horizontal="center" vertical="center" wrapText="1"/>
      <protection locked="0"/>
    </xf>
    <xf numFmtId="168" fontId="90" fillId="0" borderId="21" xfId="99" applyNumberFormat="1" applyFont="1" applyFill="1" applyBorder="1" applyAlignment="1" applyProtection="1">
      <alignment horizontal="left" vertical="center" wrapText="1"/>
      <protection locked="0"/>
    </xf>
    <xf numFmtId="168" fontId="24" fillId="0" borderId="21" xfId="99" applyNumberFormat="1" applyFont="1" applyFill="1" applyBorder="1" applyAlignment="1" applyProtection="1">
      <alignment vertical="center" wrapText="1"/>
      <protection locked="0"/>
    </xf>
    <xf numFmtId="168" fontId="24" fillId="0" borderId="21" xfId="99" applyNumberFormat="1" applyFont="1" applyFill="1" applyBorder="1" applyAlignment="1" applyProtection="1">
      <alignment vertical="center" wrapText="1"/>
    </xf>
    <xf numFmtId="168" fontId="91" fillId="0" borderId="63" xfId="99" applyNumberFormat="1" applyFont="1" applyFill="1" applyBorder="1" applyAlignment="1">
      <alignment vertical="center" wrapText="1"/>
    </xf>
    <xf numFmtId="168" fontId="91" fillId="0" borderId="0" xfId="99" applyNumberFormat="1" applyFont="1" applyFill="1" applyAlignment="1">
      <alignment vertical="center" wrapText="1"/>
    </xf>
    <xf numFmtId="168" fontId="24" fillId="0" borderId="15" xfId="99" quotePrefix="1" applyNumberFormat="1" applyFont="1" applyFill="1" applyBorder="1" applyAlignment="1" applyProtection="1">
      <alignment horizontal="left" vertical="center" wrapText="1"/>
      <protection locked="0"/>
    </xf>
    <xf numFmtId="49" fontId="24" fillId="0" borderId="16" xfId="99" quotePrefix="1" applyNumberFormat="1" applyFont="1" applyFill="1" applyBorder="1" applyAlignment="1" applyProtection="1">
      <alignment horizontal="center" vertical="center" wrapText="1"/>
      <protection locked="0"/>
    </xf>
    <xf numFmtId="168" fontId="24" fillId="0" borderId="16" xfId="99" quotePrefix="1" applyNumberFormat="1" applyFont="1" applyFill="1" applyBorder="1" applyAlignment="1" applyProtection="1">
      <alignment horizontal="left" vertical="center" wrapText="1"/>
      <protection locked="0"/>
    </xf>
    <xf numFmtId="168" fontId="24" fillId="0" borderId="16" xfId="99" applyNumberFormat="1" applyFont="1" applyFill="1" applyBorder="1" applyAlignment="1" applyProtection="1">
      <alignment vertical="center" wrapText="1"/>
      <protection locked="0"/>
    </xf>
    <xf numFmtId="168" fontId="24" fillId="0" borderId="16" xfId="99" applyNumberFormat="1" applyFont="1" applyFill="1" applyBorder="1" applyAlignment="1" applyProtection="1">
      <alignment vertical="center" wrapText="1"/>
    </xf>
    <xf numFmtId="168" fontId="92" fillId="0" borderId="45" xfId="99" applyNumberFormat="1" applyFont="1" applyFill="1" applyBorder="1" applyAlignment="1">
      <alignment vertical="center" wrapText="1"/>
    </xf>
    <xf numFmtId="168" fontId="92" fillId="0" borderId="0" xfId="99" applyNumberFormat="1" applyFont="1" applyFill="1" applyAlignment="1">
      <alignment vertical="center" wrapText="1"/>
    </xf>
    <xf numFmtId="168" fontId="5" fillId="0" borderId="15" xfId="99" quotePrefix="1" applyNumberFormat="1" applyFont="1" applyFill="1" applyBorder="1" applyAlignment="1" applyProtection="1">
      <alignment horizontal="left" vertical="center" wrapText="1"/>
      <protection locked="0"/>
    </xf>
    <xf numFmtId="168" fontId="5" fillId="0" borderId="16" xfId="99" quotePrefix="1" applyNumberFormat="1" applyFont="1" applyFill="1" applyBorder="1" applyAlignment="1" applyProtection="1">
      <alignment horizontal="left" vertical="center" wrapText="1"/>
      <protection locked="0"/>
    </xf>
    <xf numFmtId="168" fontId="5" fillId="0" borderId="16" xfId="99" applyNumberFormat="1" applyFont="1" applyFill="1" applyBorder="1" applyAlignment="1" applyProtection="1">
      <alignment vertical="center" wrapText="1"/>
      <protection locked="0"/>
    </xf>
    <xf numFmtId="0" fontId="24" fillId="0" borderId="15" xfId="102" quotePrefix="1" applyFont="1" applyFill="1" applyBorder="1" applyAlignment="1" applyProtection="1">
      <alignment horizontal="left"/>
      <protection locked="0"/>
    </xf>
    <xf numFmtId="0" fontId="24" fillId="0" borderId="16" xfId="102" quotePrefix="1" applyFont="1" applyFill="1" applyBorder="1" applyAlignment="1" applyProtection="1">
      <alignment horizontal="left"/>
      <protection locked="0"/>
    </xf>
    <xf numFmtId="168" fontId="93" fillId="0" borderId="0" xfId="99" applyNumberFormat="1" applyFont="1" applyFill="1" applyAlignment="1">
      <alignment vertical="center" wrapText="1"/>
    </xf>
    <xf numFmtId="0" fontId="5" fillId="0" borderId="15" xfId="102" quotePrefix="1" applyFont="1" applyFill="1" applyBorder="1" applyProtection="1">
      <protection locked="0"/>
    </xf>
    <xf numFmtId="0" fontId="5" fillId="0" borderId="16" xfId="102" quotePrefix="1" applyFont="1" applyFill="1" applyBorder="1" applyProtection="1">
      <protection locked="0"/>
    </xf>
    <xf numFmtId="0" fontId="24" fillId="0" borderId="15" xfId="102" quotePrefix="1" applyFont="1" applyFill="1" applyBorder="1" applyProtection="1">
      <protection locked="0"/>
    </xf>
    <xf numFmtId="0" fontId="24" fillId="0" borderId="16" xfId="102" quotePrefix="1" applyFont="1" applyFill="1" applyBorder="1" applyProtection="1">
      <protection locked="0"/>
    </xf>
    <xf numFmtId="0" fontId="6" fillId="25" borderId="15" xfId="102" quotePrefix="1" applyFont="1" applyFill="1" applyBorder="1" applyProtection="1">
      <protection locked="0"/>
    </xf>
    <xf numFmtId="0" fontId="6" fillId="25" borderId="16" xfId="102" quotePrefix="1" applyFont="1" applyFill="1" applyBorder="1" applyAlignment="1" applyProtection="1">
      <alignment horizontal="center"/>
      <protection locked="0"/>
    </xf>
    <xf numFmtId="0" fontId="6" fillId="25" borderId="16" xfId="102" quotePrefix="1" applyFont="1" applyFill="1" applyBorder="1" applyProtection="1">
      <protection locked="0"/>
    </xf>
    <xf numFmtId="168" fontId="6" fillId="25" borderId="16" xfId="99" applyNumberFormat="1" applyFont="1" applyFill="1" applyBorder="1" applyAlignment="1" applyProtection="1">
      <alignment vertical="center" wrapText="1"/>
      <protection locked="0"/>
    </xf>
    <xf numFmtId="168" fontId="6" fillId="25" borderId="45" xfId="99" applyNumberFormat="1" applyFont="1" applyFill="1" applyBorder="1" applyAlignment="1" applyProtection="1">
      <alignment vertical="center" wrapText="1"/>
      <protection locked="0"/>
    </xf>
    <xf numFmtId="168" fontId="90" fillId="0" borderId="15" xfId="99" applyNumberFormat="1" applyFont="1" applyFill="1" applyBorder="1" applyAlignment="1" applyProtection="1">
      <alignment horizontal="left" vertical="center" wrapText="1"/>
      <protection locked="0"/>
    </xf>
    <xf numFmtId="168" fontId="90" fillId="0" borderId="16" xfId="99" applyNumberFormat="1" applyFont="1" applyFill="1" applyBorder="1" applyAlignment="1" applyProtection="1">
      <alignment horizontal="center" vertical="center" wrapText="1"/>
      <protection locked="0"/>
    </xf>
    <xf numFmtId="168" fontId="90" fillId="0" borderId="16" xfId="99" applyNumberFormat="1" applyFont="1" applyFill="1" applyBorder="1" applyAlignment="1" applyProtection="1">
      <alignment horizontal="left" vertical="center" wrapText="1"/>
      <protection locked="0"/>
    </xf>
    <xf numFmtId="168" fontId="94" fillId="0" borderId="0" xfId="99" applyNumberFormat="1" applyFont="1" applyFill="1" applyAlignment="1">
      <alignment vertical="center" wrapText="1"/>
    </xf>
    <xf numFmtId="0" fontId="81" fillId="0" borderId="15" xfId="99" quotePrefix="1" applyFont="1" applyFill="1" applyBorder="1" applyAlignment="1">
      <alignment vertical="center" wrapText="1"/>
    </xf>
    <xf numFmtId="0" fontId="81" fillId="0" borderId="16" xfId="99" quotePrefix="1" applyFont="1" applyFill="1" applyBorder="1" applyAlignment="1">
      <alignment vertical="center" wrapText="1"/>
    </xf>
    <xf numFmtId="168" fontId="95" fillId="0" borderId="0" xfId="99" applyNumberFormat="1" applyFont="1" applyFill="1" applyAlignment="1">
      <alignment vertical="center" wrapText="1"/>
    </xf>
    <xf numFmtId="0" fontId="81" fillId="0" borderId="15" xfId="99" quotePrefix="1" applyFont="1" applyFill="1" applyBorder="1" applyAlignment="1">
      <alignment vertical="center"/>
    </xf>
    <xf numFmtId="0" fontId="81" fillId="0" borderId="16" xfId="99" quotePrefix="1" applyFont="1" applyFill="1" applyBorder="1" applyAlignment="1">
      <alignment vertical="center"/>
    </xf>
    <xf numFmtId="0" fontId="96" fillId="0" borderId="15" xfId="99" applyFont="1" applyFill="1" applyBorder="1" applyAlignment="1">
      <alignment vertical="center"/>
    </xf>
    <xf numFmtId="0" fontId="96" fillId="0" borderId="16" xfId="99" applyFont="1" applyFill="1" applyBorder="1" applyAlignment="1">
      <alignment horizontal="center" vertical="center"/>
    </xf>
    <xf numFmtId="0" fontId="96" fillId="0" borderId="16" xfId="99" applyFont="1" applyFill="1" applyBorder="1" applyAlignment="1">
      <alignment vertical="center"/>
    </xf>
    <xf numFmtId="168" fontId="97" fillId="0" borderId="0" xfId="99" applyNumberFormat="1" applyFont="1" applyFill="1" applyAlignment="1">
      <alignment vertical="center" wrapText="1"/>
    </xf>
    <xf numFmtId="168" fontId="24" fillId="0" borderId="0" xfId="99" applyNumberFormat="1" applyFont="1" applyFill="1" applyAlignment="1">
      <alignment vertical="center" wrapText="1"/>
    </xf>
    <xf numFmtId="0" fontId="55" fillId="25" borderId="15" xfId="99" quotePrefix="1" applyFont="1" applyFill="1" applyBorder="1" applyAlignment="1">
      <alignment vertical="center"/>
    </xf>
    <xf numFmtId="0" fontId="55" fillId="25" borderId="16" xfId="99" quotePrefix="1" applyFont="1" applyFill="1" applyBorder="1" applyAlignment="1">
      <alignment horizontal="center" vertical="center"/>
    </xf>
    <xf numFmtId="0" fontId="55" fillId="25" borderId="16" xfId="99" quotePrefix="1" applyFont="1" applyFill="1" applyBorder="1" applyAlignment="1">
      <alignment vertical="center"/>
    </xf>
    <xf numFmtId="168" fontId="7" fillId="25" borderId="16" xfId="99" applyNumberFormat="1" applyFont="1" applyFill="1" applyBorder="1" applyAlignment="1" applyProtection="1">
      <alignment vertical="center" wrapText="1"/>
      <protection locked="0"/>
    </xf>
    <xf numFmtId="168" fontId="7" fillId="25" borderId="45" xfId="99" applyNumberFormat="1" applyFont="1" applyFill="1" applyBorder="1" applyAlignment="1" applyProtection="1">
      <alignment vertical="center" wrapText="1"/>
      <protection locked="0"/>
    </xf>
    <xf numFmtId="168" fontId="6" fillId="0" borderId="0" xfId="99" applyNumberFormat="1" applyFont="1" applyFill="1" applyAlignment="1">
      <alignment vertical="center" wrapText="1"/>
    </xf>
    <xf numFmtId="168" fontId="91" fillId="0" borderId="45" xfId="99" applyNumberFormat="1" applyFont="1" applyFill="1" applyBorder="1" applyAlignment="1">
      <alignment vertical="center" wrapText="1"/>
    </xf>
    <xf numFmtId="3" fontId="81" fillId="0" borderId="16" xfId="67" applyNumberFormat="1" applyFont="1" applyFill="1" applyBorder="1" applyAlignment="1">
      <alignment vertical="center"/>
    </xf>
    <xf numFmtId="168" fontId="93" fillId="0" borderId="45" xfId="99" applyNumberFormat="1" applyFont="1" applyFill="1" applyBorder="1" applyAlignment="1">
      <alignment vertical="center" wrapText="1"/>
    </xf>
    <xf numFmtId="0" fontId="81" fillId="0" borderId="15" xfId="99" applyFont="1" applyFill="1" applyBorder="1" applyAlignment="1">
      <alignment vertical="center"/>
    </xf>
    <xf numFmtId="0" fontId="81" fillId="0" borderId="16" xfId="99" applyFont="1" applyFill="1" applyBorder="1" applyAlignment="1">
      <alignment vertical="center"/>
    </xf>
    <xf numFmtId="168" fontId="98" fillId="0" borderId="0" xfId="99" applyNumberFormat="1" applyFont="1" applyFill="1" applyAlignment="1">
      <alignment vertical="center" wrapText="1"/>
    </xf>
    <xf numFmtId="168" fontId="31" fillId="0" borderId="0" xfId="99" applyNumberFormat="1" applyFill="1" applyAlignment="1">
      <alignment vertical="center" wrapText="1"/>
    </xf>
    <xf numFmtId="0" fontId="81" fillId="0" borderId="15" xfId="99" applyFont="1" applyFill="1" applyBorder="1" applyAlignment="1">
      <alignment vertical="center" wrapText="1"/>
    </xf>
    <xf numFmtId="0" fontId="81" fillId="0" borderId="16" xfId="99" applyFont="1" applyFill="1" applyBorder="1" applyAlignment="1">
      <alignment vertical="center" wrapText="1"/>
    </xf>
    <xf numFmtId="168" fontId="24" fillId="0" borderId="15" xfId="99" applyNumberFormat="1" applyFont="1" applyFill="1" applyBorder="1" applyAlignment="1" applyProtection="1">
      <alignment horizontal="left" vertical="center" wrapText="1"/>
      <protection locked="0"/>
    </xf>
    <xf numFmtId="168" fontId="24" fillId="0" borderId="16" xfId="99" applyNumberFormat="1" applyFont="1" applyFill="1" applyBorder="1" applyAlignment="1" applyProtection="1">
      <alignment horizontal="left" vertical="center" wrapText="1"/>
      <protection locked="0"/>
    </xf>
    <xf numFmtId="0" fontId="90" fillId="0" borderId="15" xfId="102" applyFont="1" applyFill="1" applyBorder="1" applyProtection="1">
      <protection locked="0"/>
    </xf>
    <xf numFmtId="0" fontId="90" fillId="0" borderId="16" xfId="102" applyFont="1" applyFill="1" applyBorder="1" applyAlignment="1" applyProtection="1">
      <alignment horizontal="center"/>
      <protection locked="0"/>
    </xf>
    <xf numFmtId="0" fontId="90" fillId="0" borderId="16" xfId="102" applyFont="1" applyFill="1" applyBorder="1" applyProtection="1">
      <protection locked="0"/>
    </xf>
    <xf numFmtId="168" fontId="6" fillId="25" borderId="22" xfId="99" applyNumberFormat="1" applyFont="1" applyFill="1" applyBorder="1" applyAlignment="1" applyProtection="1">
      <alignment horizontal="left" vertical="center" wrapText="1"/>
    </xf>
    <xf numFmtId="168" fontId="6" fillId="25" borderId="28" xfId="99" applyNumberFormat="1" applyFont="1" applyFill="1" applyBorder="1" applyAlignment="1" applyProtection="1">
      <alignment horizontal="center" vertical="center" wrapText="1"/>
    </xf>
    <xf numFmtId="168" fontId="6" fillId="25" borderId="28" xfId="99" applyNumberFormat="1" applyFont="1" applyFill="1" applyBorder="1" applyAlignment="1" applyProtection="1">
      <alignment horizontal="left" vertical="center" wrapText="1"/>
    </xf>
    <xf numFmtId="168" fontId="6" fillId="25" borderId="28" xfId="99" applyNumberFormat="1" applyFont="1" applyFill="1" applyBorder="1" applyAlignment="1" applyProtection="1">
      <alignment vertical="center" wrapText="1"/>
    </xf>
    <xf numFmtId="168" fontId="6" fillId="25" borderId="29" xfId="99" applyNumberFormat="1" applyFont="1" applyFill="1" applyBorder="1" applyAlignment="1" applyProtection="1">
      <alignment vertical="center" wrapText="1"/>
    </xf>
    <xf numFmtId="168" fontId="92" fillId="0" borderId="17" xfId="0" applyNumberFormat="1" applyFont="1" applyFill="1" applyBorder="1" applyAlignment="1" applyProtection="1">
      <alignment horizontal="left" vertical="center" wrapText="1"/>
      <protection locked="0"/>
    </xf>
    <xf numFmtId="168" fontId="99" fillId="0" borderId="18" xfId="0" applyNumberFormat="1" applyFont="1" applyFill="1" applyBorder="1" applyAlignment="1" applyProtection="1">
      <alignment vertical="center" wrapText="1"/>
      <protection locked="0"/>
    </xf>
    <xf numFmtId="49" fontId="99" fillId="0" borderId="18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45" xfId="107" applyNumberFormat="1" applyFont="1" applyFill="1" applyBorder="1" applyAlignment="1" applyProtection="1">
      <alignment vertical="center" wrapText="1"/>
    </xf>
    <xf numFmtId="168" fontId="25" fillId="0" borderId="21" xfId="107" applyNumberFormat="1" applyFont="1" applyFill="1" applyBorder="1" applyAlignment="1" applyProtection="1">
      <alignment horizontal="right" vertical="center" wrapText="1" indent="1"/>
    </xf>
    <xf numFmtId="166" fontId="9" fillId="0" borderId="18" xfId="66" applyNumberFormat="1" applyFont="1" applyFill="1" applyBorder="1" applyAlignment="1" applyProtection="1">
      <alignment vertical="center" wrapText="1"/>
      <protection locked="0"/>
    </xf>
    <xf numFmtId="166" fontId="9" fillId="0" borderId="16" xfId="66" applyNumberFormat="1" applyFont="1" applyFill="1" applyBorder="1" applyAlignment="1" applyProtection="1">
      <alignment vertical="center" wrapText="1"/>
      <protection locked="0"/>
    </xf>
    <xf numFmtId="166" fontId="9" fillId="0" borderId="32" xfId="66" applyNumberFormat="1" applyFont="1" applyFill="1" applyBorder="1" applyAlignment="1" applyProtection="1">
      <alignment vertical="center" wrapText="1"/>
      <protection locked="0"/>
    </xf>
    <xf numFmtId="166" fontId="9" fillId="0" borderId="24" xfId="66" applyNumberFormat="1" applyFont="1" applyFill="1" applyBorder="1" applyAlignment="1" applyProtection="1">
      <alignment vertical="center" wrapText="1"/>
      <protection locked="0"/>
    </xf>
    <xf numFmtId="166" fontId="9" fillId="0" borderId="33" xfId="66" applyNumberFormat="1" applyFont="1" applyFill="1" applyBorder="1" applyAlignment="1" applyProtection="1">
      <alignment vertical="center" wrapText="1"/>
      <protection locked="0"/>
    </xf>
    <xf numFmtId="166" fontId="25" fillId="0" borderId="16" xfId="66" applyNumberFormat="1" applyFont="1" applyFill="1" applyBorder="1" applyAlignment="1" applyProtection="1">
      <alignment horizontal="right" vertical="center" wrapText="1" indent="1"/>
      <protection locked="0"/>
    </xf>
    <xf numFmtId="166" fontId="25" fillId="0" borderId="32" xfId="66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11" xfId="66" applyNumberFormat="1" applyFont="1" applyFill="1" applyBorder="1" applyAlignment="1" applyProtection="1">
      <alignment horizontal="right" vertical="center" wrapText="1" indent="1"/>
    </xf>
    <xf numFmtId="166" fontId="11" fillId="0" borderId="30" xfId="66" applyNumberFormat="1" applyFont="1" applyFill="1" applyBorder="1" applyAlignment="1" applyProtection="1">
      <alignment horizontal="right" vertical="center" wrapText="1" indent="1"/>
    </xf>
    <xf numFmtId="166" fontId="25" fillId="0" borderId="18" xfId="66" applyNumberFormat="1" applyFont="1" applyFill="1" applyBorder="1" applyAlignment="1" applyProtection="1">
      <alignment horizontal="right" vertical="center" wrapText="1" indent="1"/>
      <protection locked="0"/>
    </xf>
    <xf numFmtId="166" fontId="25" fillId="0" borderId="31" xfId="66" applyNumberFormat="1" applyFont="1" applyFill="1" applyBorder="1" applyAlignment="1" applyProtection="1">
      <alignment horizontal="right" vertical="center" wrapText="1" indent="1"/>
      <protection locked="0"/>
    </xf>
    <xf numFmtId="167" fontId="7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7" fontId="7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8" fontId="88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0" fontId="93" fillId="0" borderId="0" xfId="107" applyFont="1" applyFill="1" applyAlignment="1" applyProtection="1">
      <alignment vertical="center" wrapText="1"/>
    </xf>
    <xf numFmtId="167" fontId="6" fillId="0" borderId="28" xfId="107" applyNumberFormat="1" applyFont="1" applyFill="1" applyBorder="1" applyAlignment="1" applyProtection="1">
      <alignment vertical="center" wrapText="1"/>
    </xf>
    <xf numFmtId="49" fontId="25" fillId="0" borderId="58" xfId="107" applyNumberFormat="1" applyFont="1" applyFill="1" applyBorder="1" applyAlignment="1">
      <alignment horizontal="left" vertical="center"/>
    </xf>
    <xf numFmtId="0" fontId="9" fillId="0" borderId="74" xfId="102" applyFont="1" applyFill="1" applyBorder="1" applyAlignment="1" applyProtection="1">
      <alignment horizontal="left" vertical="center" wrapText="1"/>
    </xf>
    <xf numFmtId="49" fontId="14" fillId="0" borderId="58" xfId="107" quotePrefix="1" applyNumberFormat="1" applyFont="1" applyFill="1" applyBorder="1" applyAlignment="1">
      <alignment horizontal="left" vertical="center" indent="1"/>
    </xf>
    <xf numFmtId="49" fontId="11" fillId="0" borderId="26" xfId="107" applyNumberFormat="1" applyFont="1" applyFill="1" applyBorder="1" applyAlignment="1" applyProtection="1">
      <alignment horizontal="left" vertical="center" indent="1"/>
      <protection locked="0"/>
    </xf>
    <xf numFmtId="3" fontId="25" fillId="0" borderId="56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5" xfId="107" applyNumberFormat="1" applyFont="1" applyFill="1" applyBorder="1" applyAlignment="1">
      <alignment horizontal="left" vertical="center"/>
    </xf>
    <xf numFmtId="168" fontId="10" fillId="0" borderId="54" xfId="107" applyNumberFormat="1" applyFont="1" applyFill="1" applyBorder="1" applyAlignment="1">
      <alignment horizontal="center" vertical="center"/>
    </xf>
    <xf numFmtId="168" fontId="11" fillId="0" borderId="86" xfId="102" applyNumberFormat="1" applyFont="1" applyFill="1" applyBorder="1" applyAlignment="1" applyProtection="1">
      <alignment horizontal="right" vertical="center" wrapText="1" indent="1"/>
    </xf>
    <xf numFmtId="0" fontId="25" fillId="0" borderId="28" xfId="117" applyFont="1" applyBorder="1" applyAlignment="1" applyProtection="1">
      <alignment horizontal="left" vertical="center"/>
      <protection locked="0"/>
    </xf>
    <xf numFmtId="0" fontId="24" fillId="0" borderId="0" xfId="107" applyFill="1"/>
    <xf numFmtId="168" fontId="10" fillId="0" borderId="41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49" fontId="11" fillId="0" borderId="27" xfId="107" applyNumberFormat="1" applyFont="1" applyFill="1" applyBorder="1" applyAlignment="1" applyProtection="1">
      <alignment horizontal="right" vertical="center"/>
      <protection locked="0"/>
    </xf>
    <xf numFmtId="49" fontId="25" fillId="0" borderId="17" xfId="107" applyNumberFormat="1" applyFont="1" applyFill="1" applyBorder="1" applyAlignment="1">
      <alignment horizontal="left" vertical="center"/>
    </xf>
    <xf numFmtId="168" fontId="10" fillId="0" borderId="56" xfId="107" applyNumberFormat="1" applyFont="1" applyFill="1" applyBorder="1" applyAlignment="1" applyProtection="1">
      <alignment horizontal="right" vertical="center" wrapText="1"/>
    </xf>
    <xf numFmtId="168" fontId="11" fillId="0" borderId="44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 applyProtection="1">
      <alignment horizontal="left" vertical="center"/>
      <protection locked="0"/>
    </xf>
    <xf numFmtId="168" fontId="11" fillId="0" borderId="41" xfId="107" applyNumberFormat="1" applyFont="1" applyFill="1" applyBorder="1" applyAlignment="1">
      <alignment vertical="center"/>
    </xf>
    <xf numFmtId="0" fontId="9" fillId="0" borderId="47" xfId="102" applyFont="1" applyFill="1" applyBorder="1" applyAlignment="1" applyProtection="1">
      <alignment horizontal="left" vertical="center"/>
    </xf>
    <xf numFmtId="0" fontId="9" fillId="0" borderId="47" xfId="102" applyFont="1" applyFill="1" applyBorder="1" applyAlignment="1" applyProtection="1">
      <alignment horizontal="left" vertical="center" wrapText="1"/>
    </xf>
    <xf numFmtId="3" fontId="25" fillId="0" borderId="56" xfId="107" applyNumberFormat="1" applyFont="1" applyFill="1" applyBorder="1" applyAlignment="1" applyProtection="1">
      <alignment horizontal="right" vertical="center"/>
      <protection locked="0"/>
    </xf>
    <xf numFmtId="0" fontId="9" fillId="0" borderId="78" xfId="102" applyFont="1" applyFill="1" applyBorder="1" applyAlignment="1" applyProtection="1">
      <alignment horizontal="left" vertical="center" wrapText="1"/>
    </xf>
    <xf numFmtId="3" fontId="25" fillId="0" borderId="57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4" xfId="107" applyNumberFormat="1" applyFont="1" applyFill="1" applyBorder="1" applyAlignment="1">
      <alignment horizontal="right" vertical="center" wrapText="1"/>
    </xf>
    <xf numFmtId="168" fontId="10" fillId="0" borderId="53" xfId="107" applyNumberFormat="1" applyFont="1" applyFill="1" applyBorder="1" applyAlignment="1">
      <alignment horizontal="center" vertical="center"/>
    </xf>
    <xf numFmtId="168" fontId="11" fillId="0" borderId="57" xfId="107" applyNumberFormat="1" applyFont="1" applyFill="1" applyBorder="1" applyAlignment="1">
      <alignment horizontal="right" vertical="center" wrapText="1"/>
    </xf>
    <xf numFmtId="3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3" fontId="14" fillId="0" borderId="44" xfId="107" applyNumberFormat="1" applyFont="1" applyFill="1" applyBorder="1" applyAlignment="1" applyProtection="1">
      <alignment horizontal="right" vertical="center" wrapText="1"/>
      <protection locked="0"/>
    </xf>
    <xf numFmtId="3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44" xfId="107" applyNumberFormat="1" applyFont="1" applyFill="1" applyBorder="1" applyAlignment="1" applyProtection="1">
      <alignment horizontal="righ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62" xfId="107" applyNumberFormat="1" applyFont="1" applyFill="1" applyBorder="1" applyAlignment="1" applyProtection="1">
      <alignment vertical="center"/>
      <protection locked="0"/>
    </xf>
    <xf numFmtId="167" fontId="10" fillId="0" borderId="41" xfId="107" applyNumberFormat="1" applyFont="1" applyFill="1" applyBorder="1" applyAlignment="1">
      <alignment horizontal="left" vertical="center" wrapText="1" indent="1"/>
    </xf>
    <xf numFmtId="0" fontId="3" fillId="0" borderId="0" xfId="128"/>
    <xf numFmtId="0" fontId="9" fillId="0" borderId="76" xfId="102" applyFont="1" applyFill="1" applyBorder="1" applyAlignment="1" applyProtection="1">
      <alignment horizontal="left" vertical="center" wrapText="1"/>
    </xf>
    <xf numFmtId="49" fontId="11" fillId="0" borderId="62" xfId="107" applyNumberFormat="1" applyFont="1" applyFill="1" applyBorder="1" applyAlignment="1" applyProtection="1">
      <alignment horizontal="right" vertical="center"/>
      <protection locked="0"/>
    </xf>
    <xf numFmtId="49" fontId="11" fillId="0" borderId="27" xfId="107" applyNumberFormat="1" applyFont="1" applyFill="1" applyBorder="1" applyAlignment="1" applyProtection="1">
      <alignment vertical="center"/>
      <protection locked="0"/>
    </xf>
    <xf numFmtId="3" fontId="25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9" xfId="107" applyNumberFormat="1" applyFont="1" applyFill="1" applyBorder="1" applyAlignment="1" applyProtection="1">
      <alignment horizontal="left" vertical="center"/>
      <protection locked="0"/>
    </xf>
    <xf numFmtId="0" fontId="9" fillId="0" borderId="81" xfId="102" applyFont="1" applyFill="1" applyBorder="1" applyAlignment="1" applyProtection="1">
      <alignment horizontal="left" vertical="center" wrapText="1"/>
    </xf>
    <xf numFmtId="3" fontId="14" fillId="0" borderId="44" xfId="107" applyNumberFormat="1" applyFont="1" applyFill="1" applyBorder="1" applyAlignment="1" applyProtection="1">
      <alignment horizontal="right" vertical="center"/>
      <protection locked="0"/>
    </xf>
    <xf numFmtId="168" fontId="24" fillId="0" borderId="0" xfId="107" applyNumberFormat="1" applyFill="1" applyAlignment="1">
      <alignment vertical="center" wrapText="1"/>
    </xf>
    <xf numFmtId="3" fontId="25" fillId="0" borderId="29" xfId="117" applyNumberFormat="1" applyFont="1" applyFill="1" applyBorder="1" applyAlignment="1" applyProtection="1">
      <alignment horizontal="right" vertical="center" indent="1"/>
      <protection locked="0"/>
    </xf>
    <xf numFmtId="49" fontId="25" fillId="0" borderId="19" xfId="107" applyNumberFormat="1" applyFont="1" applyFill="1" applyBorder="1" applyAlignment="1" applyProtection="1">
      <alignment horizontal="left" vertical="center"/>
      <protection locked="0"/>
    </xf>
    <xf numFmtId="49" fontId="25" fillId="0" borderId="15" xfId="107" applyNumberFormat="1" applyFont="1" applyFill="1" applyBorder="1" applyAlignment="1">
      <alignment horizontal="left" vertical="center"/>
    </xf>
    <xf numFmtId="172" fontId="29" fillId="0" borderId="43" xfId="107" applyNumberFormat="1" applyFont="1" applyFill="1" applyBorder="1" applyAlignment="1" applyProtection="1">
      <alignment horizontal="right" vertical="center"/>
    </xf>
    <xf numFmtId="172" fontId="28" fillId="0" borderId="45" xfId="107" applyNumberFormat="1" applyFont="1" applyFill="1" applyBorder="1" applyAlignment="1" applyProtection="1">
      <alignment horizontal="right" vertical="center"/>
      <protection locked="0"/>
    </xf>
    <xf numFmtId="172" fontId="29" fillId="0" borderId="63" xfId="107" applyNumberFormat="1" applyFont="1" applyFill="1" applyBorder="1" applyAlignment="1" applyProtection="1">
      <alignment horizontal="right" vertical="center"/>
    </xf>
    <xf numFmtId="172" fontId="28" fillId="0" borderId="29" xfId="107" applyNumberFormat="1" applyFont="1" applyFill="1" applyBorder="1" applyAlignment="1" applyProtection="1">
      <alignment horizontal="right" vertical="center"/>
      <protection locked="0"/>
    </xf>
    <xf numFmtId="172" fontId="24" fillId="0" borderId="0" xfId="107" applyNumberFormat="1" applyFill="1"/>
    <xf numFmtId="168" fontId="11" fillId="0" borderId="41" xfId="102" applyNumberFormat="1" applyFont="1" applyFill="1" applyBorder="1" applyAlignment="1" applyProtection="1">
      <alignment horizontal="right" vertical="center" wrapText="1" indent="1"/>
    </xf>
    <xf numFmtId="0" fontId="10" fillId="0" borderId="66" xfId="102" applyFont="1" applyFill="1" applyBorder="1" applyAlignment="1" applyProtection="1">
      <alignment horizontal="left" vertical="center" wrapText="1" indent="1"/>
    </xf>
    <xf numFmtId="167" fontId="54" fillId="0" borderId="0" xfId="107" applyNumberFormat="1" applyFont="1" applyFill="1" applyBorder="1" applyAlignment="1">
      <alignment horizontal="left" vertical="center" wrapText="1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43" xfId="102" applyNumberFormat="1" applyFont="1" applyFill="1" applyBorder="1" applyAlignment="1" applyProtection="1">
      <alignment horizontal="right" vertical="center" wrapText="1" indent="1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81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7" xfId="117" applyFont="1" applyBorder="1" applyAlignment="1" applyProtection="1">
      <alignment horizontal="right" vertical="center" indent="1"/>
    </xf>
    <xf numFmtId="3" fontId="25" fillId="0" borderId="60" xfId="107" applyNumberFormat="1" applyFont="1" applyFill="1" applyBorder="1" applyAlignment="1" applyProtection="1">
      <alignment horizontal="right" vertical="center"/>
      <protection locked="0"/>
    </xf>
    <xf numFmtId="0" fontId="25" fillId="0" borderId="22" xfId="117" applyFont="1" applyBorder="1" applyAlignment="1" applyProtection="1">
      <alignment horizontal="right" vertical="center" indent="1"/>
    </xf>
    <xf numFmtId="168" fontId="9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8" fontId="10" fillId="0" borderId="11" xfId="102" applyNumberFormat="1" applyFont="1" applyFill="1" applyBorder="1" applyAlignment="1" applyProtection="1">
      <alignment horizontal="right" vertical="center" wrapText="1" indent="1"/>
    </xf>
    <xf numFmtId="168" fontId="9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0" xfId="107" applyFill="1"/>
    <xf numFmtId="0" fontId="56" fillId="0" borderId="34" xfId="107" applyFont="1" applyBorder="1" applyAlignment="1" applyProtection="1">
      <alignment horizontal="center" vertical="center" wrapText="1"/>
    </xf>
    <xf numFmtId="0" fontId="56" fillId="0" borderId="10" xfId="107" applyFont="1" applyBorder="1" applyAlignment="1" applyProtection="1">
      <alignment horizontal="center" vertical="center" wrapText="1"/>
    </xf>
    <xf numFmtId="168" fontId="11" fillId="0" borderId="41" xfId="107" applyNumberFormat="1" applyFont="1" applyFill="1" applyBorder="1" applyAlignment="1">
      <alignment horizontal="center" vertical="center" wrapText="1"/>
    </xf>
    <xf numFmtId="3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61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1" xfId="107" applyNumberFormat="1" applyFont="1" applyFill="1" applyBorder="1" applyAlignment="1">
      <alignment horizontal="right" vertical="center" wrapText="1"/>
    </xf>
    <xf numFmtId="0" fontId="8" fillId="0" borderId="0" xfId="107" applyFont="1" applyFill="1" applyAlignment="1">
      <alignment textRotation="180"/>
    </xf>
    <xf numFmtId="0" fontId="24" fillId="0" borderId="0" xfId="107" applyFill="1" applyAlignment="1"/>
    <xf numFmtId="0" fontId="3" fillId="0" borderId="0" xfId="128"/>
    <xf numFmtId="168" fontId="10" fillId="0" borderId="41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168" fontId="10" fillId="0" borderId="53" xfId="107" applyNumberFormat="1" applyFont="1" applyFill="1" applyBorder="1" applyAlignment="1">
      <alignment horizontal="center" vertical="center"/>
    </xf>
    <xf numFmtId="168" fontId="10" fillId="0" borderId="54" xfId="107" applyNumberFormat="1" applyFont="1" applyFill="1" applyBorder="1" applyAlignment="1">
      <alignment horizontal="center" vertical="center"/>
    </xf>
    <xf numFmtId="49" fontId="25" fillId="0" borderId="55" xfId="107" applyNumberFormat="1" applyFont="1" applyFill="1" applyBorder="1" applyAlignment="1">
      <alignment horizontal="left" vertical="center"/>
    </xf>
    <xf numFmtId="3" fontId="25" fillId="0" borderId="56" xfId="107" applyNumberFormat="1" applyFont="1" applyFill="1" applyBorder="1" applyAlignment="1" applyProtection="1">
      <alignment horizontal="right" vertical="center"/>
      <protection locked="0"/>
    </xf>
    <xf numFmtId="3" fontId="25" fillId="0" borderId="56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57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57" xfId="107" applyNumberFormat="1" applyFont="1" applyFill="1" applyBorder="1" applyAlignment="1">
      <alignment horizontal="right" vertical="center" wrapText="1"/>
    </xf>
    <xf numFmtId="49" fontId="14" fillId="0" borderId="58" xfId="107" quotePrefix="1" applyNumberFormat="1" applyFont="1" applyFill="1" applyBorder="1" applyAlignment="1">
      <alignment horizontal="left" vertical="center" indent="1"/>
    </xf>
    <xf numFmtId="3" fontId="14" fillId="0" borderId="44" xfId="107" applyNumberFormat="1" applyFont="1" applyFill="1" applyBorder="1" applyAlignment="1" applyProtection="1">
      <alignment horizontal="right" vertical="center"/>
      <protection locked="0"/>
    </xf>
    <xf numFmtId="3" fontId="14" fillId="0" borderId="44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4" xfId="107" applyNumberFormat="1" applyFont="1" applyFill="1" applyBorder="1" applyAlignment="1">
      <alignment horizontal="right" vertical="center" wrapText="1"/>
    </xf>
    <xf numFmtId="49" fontId="25" fillId="0" borderId="58" xfId="107" applyNumberFormat="1" applyFont="1" applyFill="1" applyBorder="1" applyAlignment="1">
      <alignment horizontal="left" vertical="center"/>
    </xf>
    <xf numFmtId="3" fontId="25" fillId="0" borderId="44" xfId="107" applyNumberFormat="1" applyFont="1" applyFill="1" applyBorder="1" applyAlignment="1" applyProtection="1">
      <alignment horizontal="right" vertical="center"/>
      <protection locked="0"/>
    </xf>
    <xf numFmtId="3" fontId="25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9" xfId="107" applyNumberFormat="1" applyFont="1" applyFill="1" applyBorder="1" applyAlignment="1" applyProtection="1">
      <alignment horizontal="lef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26" xfId="107" applyNumberFormat="1" applyFont="1" applyFill="1" applyBorder="1" applyAlignment="1" applyProtection="1">
      <alignment horizontal="left" vertical="center" indent="1"/>
      <protection locked="0"/>
    </xf>
    <xf numFmtId="168" fontId="11" fillId="0" borderId="41" xfId="107" applyNumberFormat="1" applyFont="1" applyFill="1" applyBorder="1" applyAlignment="1">
      <alignment vertical="center"/>
    </xf>
    <xf numFmtId="49" fontId="11" fillId="0" borderId="62" xfId="107" applyNumberFormat="1" applyFont="1" applyFill="1" applyBorder="1" applyAlignment="1" applyProtection="1">
      <alignment vertical="center"/>
      <protection locked="0"/>
    </xf>
    <xf numFmtId="49" fontId="11" fillId="0" borderId="62" xfId="107" applyNumberFormat="1" applyFont="1" applyFill="1" applyBorder="1" applyAlignment="1" applyProtection="1">
      <alignment horizontal="right" vertical="center"/>
      <protection locked="0"/>
    </xf>
    <xf numFmtId="3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27" xfId="107" applyNumberFormat="1" applyFont="1" applyFill="1" applyBorder="1" applyAlignment="1" applyProtection="1">
      <alignment vertical="center"/>
      <protection locked="0"/>
    </xf>
    <xf numFmtId="49" fontId="11" fillId="0" borderId="27" xfId="107" applyNumberFormat="1" applyFont="1" applyFill="1" applyBorder="1" applyAlignment="1" applyProtection="1">
      <alignment horizontal="right" vertical="center"/>
      <protection locked="0"/>
    </xf>
    <xf numFmtId="3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17" xfId="107" applyNumberFormat="1" applyFont="1" applyFill="1" applyBorder="1" applyAlignment="1">
      <alignment horizontal="left" vertical="center"/>
    </xf>
    <xf numFmtId="168" fontId="10" fillId="0" borderId="56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>
      <alignment horizontal="left" vertical="center"/>
    </xf>
    <xf numFmtId="168" fontId="11" fillId="0" borderId="44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 applyProtection="1">
      <alignment horizontal="left" vertical="center"/>
      <protection locked="0"/>
    </xf>
    <xf numFmtId="49" fontId="25" fillId="0" borderId="19" xfId="107" applyNumberFormat="1" applyFont="1" applyFill="1" applyBorder="1" applyAlignment="1" applyProtection="1">
      <alignment horizontal="left" vertical="center"/>
      <protection locked="0"/>
    </xf>
    <xf numFmtId="167" fontId="10" fillId="0" borderId="41" xfId="107" applyNumberFormat="1" applyFont="1" applyFill="1" applyBorder="1" applyAlignment="1">
      <alignment horizontal="left" vertical="center" wrapText="1" indent="1"/>
    </xf>
    <xf numFmtId="167" fontId="54" fillId="0" borderId="0" xfId="107" applyNumberFormat="1" applyFont="1" applyFill="1" applyBorder="1" applyAlignment="1">
      <alignment horizontal="left" vertical="center" wrapText="1"/>
    </xf>
    <xf numFmtId="168" fontId="24" fillId="0" borderId="0" xfId="107" applyNumberFormat="1" applyFill="1" applyAlignment="1">
      <alignment vertical="center" wrapText="1"/>
    </xf>
    <xf numFmtId="168" fontId="11" fillId="0" borderId="41" xfId="107" applyNumberFormat="1" applyFont="1" applyFill="1" applyBorder="1" applyAlignment="1">
      <alignment horizontal="center" vertical="center" wrapText="1"/>
    </xf>
    <xf numFmtId="3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61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1" xfId="107" applyNumberFormat="1" applyFont="1" applyFill="1" applyBorder="1" applyAlignment="1">
      <alignment horizontal="right" vertical="center" wrapText="1"/>
    </xf>
    <xf numFmtId="0" fontId="8" fillId="0" borderId="0" xfId="107" applyFont="1" applyFill="1" applyAlignment="1">
      <alignment textRotation="180"/>
    </xf>
    <xf numFmtId="0" fontId="24" fillId="0" borderId="0" xfId="107" applyFill="1" applyAlignment="1"/>
    <xf numFmtId="0" fontId="25" fillId="0" borderId="16" xfId="117" applyFont="1" applyBorder="1" applyAlignment="1" applyProtection="1">
      <alignment horizontal="left" vertical="center"/>
      <protection locked="0"/>
    </xf>
    <xf numFmtId="0" fontId="25" fillId="0" borderId="16" xfId="117" applyFont="1" applyBorder="1" applyAlignment="1" applyProtection="1">
      <alignment horizontal="left" vertical="center" wrapText="1"/>
      <protection locked="0"/>
    </xf>
    <xf numFmtId="0" fontId="25" fillId="0" borderId="16" xfId="117" applyFont="1" applyBorder="1" applyAlignment="1" applyProtection="1">
      <alignment horizontal="left" vertical="center" indent="1"/>
      <protection locked="0"/>
    </xf>
    <xf numFmtId="0" fontId="25" fillId="0" borderId="24" xfId="117" applyFont="1" applyBorder="1" applyAlignment="1" applyProtection="1">
      <alignment horizontal="left" vertical="center" indent="1"/>
      <protection locked="0"/>
    </xf>
    <xf numFmtId="0" fontId="25" fillId="0" borderId="18" xfId="117" applyFont="1" applyBorder="1" applyAlignment="1" applyProtection="1">
      <alignment horizontal="left" vertical="center" indent="1"/>
      <protection locked="0"/>
    </xf>
    <xf numFmtId="0" fontId="25" fillId="0" borderId="14" xfId="117" applyFont="1" applyBorder="1" applyAlignment="1" applyProtection="1">
      <alignment horizontal="left" vertical="center" indent="1"/>
      <protection locked="0"/>
    </xf>
    <xf numFmtId="0" fontId="25" fillId="0" borderId="18" xfId="117" applyFont="1" applyBorder="1" applyAlignment="1" applyProtection="1">
      <alignment horizontal="left" vertical="center"/>
      <protection locked="0"/>
    </xf>
    <xf numFmtId="3" fontId="25" fillId="0" borderId="43" xfId="117" applyNumberFormat="1" applyFont="1" applyBorder="1" applyAlignment="1" applyProtection="1">
      <alignment horizontal="right" vertical="center" indent="1"/>
      <protection locked="0"/>
    </xf>
    <xf numFmtId="0" fontId="6" fillId="0" borderId="10" xfId="117" applyFont="1" applyBorder="1" applyAlignment="1" applyProtection="1">
      <alignment horizontal="center" vertical="center" wrapText="1"/>
    </xf>
    <xf numFmtId="0" fontId="6" fillId="0" borderId="11" xfId="117" applyFont="1" applyBorder="1" applyAlignment="1" applyProtection="1">
      <alignment horizontal="center" vertical="center"/>
    </xf>
    <xf numFmtId="0" fontId="6" fillId="0" borderId="36" xfId="117" applyFont="1" applyBorder="1" applyAlignment="1" applyProtection="1">
      <alignment horizontal="center" vertical="center" wrapText="1"/>
    </xf>
    <xf numFmtId="4" fontId="11" fillId="0" borderId="41" xfId="107" applyNumberFormat="1" applyFont="1" applyFill="1" applyBorder="1" applyAlignment="1" applyProtection="1">
      <alignment vertical="center" wrapText="1"/>
      <protection locked="0"/>
    </xf>
    <xf numFmtId="3" fontId="24" fillId="0" borderId="0" xfId="107" applyNumberFormat="1" applyFill="1"/>
    <xf numFmtId="4" fontId="10" fillId="0" borderId="41" xfId="107" applyNumberFormat="1" applyFont="1" applyFill="1" applyBorder="1" applyAlignment="1">
      <alignment horizontal="center" vertical="center" wrapText="1"/>
    </xf>
    <xf numFmtId="4" fontId="10" fillId="0" borderId="54" xfId="107" applyNumberFormat="1" applyFont="1" applyFill="1" applyBorder="1" applyAlignment="1">
      <alignment horizontal="center" vertical="center" wrapText="1"/>
    </xf>
    <xf numFmtId="4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4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4" fontId="11" fillId="0" borderId="41" xfId="107" applyNumberFormat="1" applyFont="1" applyFill="1" applyBorder="1" applyAlignment="1">
      <alignment horizontal="center" vertical="center" wrapText="1"/>
    </xf>
    <xf numFmtId="4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4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" fontId="24" fillId="0" borderId="0" xfId="107" applyNumberFormat="1" applyFill="1"/>
    <xf numFmtId="4" fontId="10" fillId="0" borderId="44" xfId="127" applyNumberFormat="1" applyFont="1" applyFill="1" applyBorder="1" applyAlignment="1">
      <alignment horizontal="right" vertical="center" wrapText="1"/>
    </xf>
    <xf numFmtId="4" fontId="10" fillId="0" borderId="57" xfId="127" applyNumberFormat="1" applyFont="1" applyFill="1" applyBorder="1" applyAlignment="1">
      <alignment horizontal="right" vertical="center" wrapText="1"/>
    </xf>
    <xf numFmtId="4" fontId="3" fillId="0" borderId="0" xfId="128" applyNumberFormat="1"/>
    <xf numFmtId="4" fontId="54" fillId="0" borderId="0" xfId="107" applyNumberFormat="1" applyFont="1" applyFill="1" applyBorder="1" applyAlignment="1">
      <alignment horizontal="left" vertical="center" wrapText="1"/>
    </xf>
    <xf numFmtId="4" fontId="10" fillId="0" borderId="44" xfId="130" applyNumberFormat="1" applyFont="1" applyFill="1" applyBorder="1" applyAlignment="1">
      <alignment horizontal="right" vertical="center" wrapText="1"/>
    </xf>
    <xf numFmtId="4" fontId="11" fillId="0" borderId="41" xfId="107" applyNumberFormat="1" applyFont="1" applyFill="1" applyBorder="1" applyAlignment="1">
      <alignment horizontal="right" vertical="center" wrapText="1"/>
    </xf>
    <xf numFmtId="0" fontId="24" fillId="0" borderId="0" xfId="107" applyFill="1"/>
    <xf numFmtId="168" fontId="10" fillId="0" borderId="41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168" fontId="10" fillId="0" borderId="53" xfId="107" applyNumberFormat="1" applyFont="1" applyFill="1" applyBorder="1" applyAlignment="1">
      <alignment horizontal="center" vertical="center"/>
    </xf>
    <xf numFmtId="168" fontId="10" fillId="0" borderId="54" xfId="107" applyNumberFormat="1" applyFont="1" applyFill="1" applyBorder="1" applyAlignment="1">
      <alignment horizontal="center" vertical="center"/>
    </xf>
    <xf numFmtId="168" fontId="10" fillId="0" borderId="54" xfId="107" applyNumberFormat="1" applyFont="1" applyFill="1" applyBorder="1" applyAlignment="1">
      <alignment horizontal="center" vertical="center" wrapText="1"/>
    </xf>
    <xf numFmtId="49" fontId="25" fillId="0" borderId="55" xfId="107" applyNumberFormat="1" applyFont="1" applyFill="1" applyBorder="1" applyAlignment="1">
      <alignment horizontal="left" vertical="center"/>
    </xf>
    <xf numFmtId="3" fontId="25" fillId="0" borderId="56" xfId="107" applyNumberFormat="1" applyFont="1" applyFill="1" applyBorder="1" applyAlignment="1" applyProtection="1">
      <alignment horizontal="right" vertical="center"/>
      <protection locked="0"/>
    </xf>
    <xf numFmtId="3" fontId="25" fillId="0" borderId="56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57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57" xfId="107" applyNumberFormat="1" applyFont="1" applyFill="1" applyBorder="1" applyAlignment="1">
      <alignment horizontal="right" vertical="center" wrapText="1"/>
    </xf>
    <xf numFmtId="4" fontId="10" fillId="0" borderId="57" xfId="107" applyNumberFormat="1" applyFont="1" applyFill="1" applyBorder="1" applyAlignment="1">
      <alignment horizontal="right" vertical="center" wrapText="1"/>
    </xf>
    <xf numFmtId="49" fontId="14" fillId="0" borderId="58" xfId="107" quotePrefix="1" applyNumberFormat="1" applyFont="1" applyFill="1" applyBorder="1" applyAlignment="1">
      <alignment horizontal="left" vertical="center" indent="1"/>
    </xf>
    <xf numFmtId="3" fontId="14" fillId="0" borderId="44" xfId="107" applyNumberFormat="1" applyFont="1" applyFill="1" applyBorder="1" applyAlignment="1" applyProtection="1">
      <alignment horizontal="right" vertical="center"/>
      <protection locked="0"/>
    </xf>
    <xf numFmtId="3" fontId="14" fillId="0" borderId="44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4" xfId="107" applyNumberFormat="1" applyFont="1" applyFill="1" applyBorder="1" applyAlignment="1">
      <alignment horizontal="right" vertical="center" wrapText="1"/>
    </xf>
    <xf numFmtId="4" fontId="10" fillId="0" borderId="44" xfId="107" applyNumberFormat="1" applyFont="1" applyFill="1" applyBorder="1" applyAlignment="1">
      <alignment horizontal="right" vertical="center" wrapText="1"/>
    </xf>
    <xf numFmtId="49" fontId="25" fillId="0" borderId="58" xfId="107" applyNumberFormat="1" applyFont="1" applyFill="1" applyBorder="1" applyAlignment="1">
      <alignment horizontal="left" vertical="center"/>
    </xf>
    <xf numFmtId="3" fontId="25" fillId="0" borderId="44" xfId="107" applyNumberFormat="1" applyFont="1" applyFill="1" applyBorder="1" applyAlignment="1" applyProtection="1">
      <alignment horizontal="right" vertical="center"/>
      <protection locked="0"/>
    </xf>
    <xf numFmtId="3" fontId="25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59" xfId="107" applyNumberFormat="1" applyFont="1" applyFill="1" applyBorder="1" applyAlignment="1" applyProtection="1">
      <alignment horizontal="lef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/>
      <protection locked="0"/>
    </xf>
    <xf numFmtId="3" fontId="25" fillId="0" borderId="60" xfId="107" applyNumberFormat="1" applyFont="1" applyFill="1" applyBorder="1" applyAlignment="1" applyProtection="1">
      <alignment horizontal="right" vertical="center" wrapText="1"/>
      <protection locked="0"/>
    </xf>
    <xf numFmtId="4" fontId="10" fillId="0" borderId="61" xfId="107" applyNumberFormat="1" applyFont="1" applyFill="1" applyBorder="1" applyAlignment="1">
      <alignment horizontal="right" vertical="center" wrapText="1"/>
    </xf>
    <xf numFmtId="49" fontId="11" fillId="0" borderId="26" xfId="107" applyNumberFormat="1" applyFont="1" applyFill="1" applyBorder="1" applyAlignment="1" applyProtection="1">
      <alignment horizontal="left" vertical="center" indent="1"/>
      <protection locked="0"/>
    </xf>
    <xf numFmtId="168" fontId="11" fillId="0" borderId="41" xfId="107" applyNumberFormat="1" applyFont="1" applyFill="1" applyBorder="1" applyAlignment="1">
      <alignment vertical="center"/>
    </xf>
    <xf numFmtId="4" fontId="9" fillId="0" borderId="41" xfId="107" applyNumberFormat="1" applyFont="1" applyFill="1" applyBorder="1" applyAlignment="1" applyProtection="1">
      <alignment vertical="center" wrapText="1"/>
      <protection locked="0"/>
    </xf>
    <xf numFmtId="49" fontId="11" fillId="0" borderId="62" xfId="107" applyNumberFormat="1" applyFont="1" applyFill="1" applyBorder="1" applyAlignment="1" applyProtection="1">
      <alignment vertical="center"/>
      <protection locked="0"/>
    </xf>
    <xf numFmtId="49" fontId="11" fillId="0" borderId="62" xfId="107" applyNumberFormat="1" applyFont="1" applyFill="1" applyBorder="1" applyAlignment="1" applyProtection="1">
      <alignment horizontal="right" vertical="center"/>
      <protection locked="0"/>
    </xf>
    <xf numFmtId="3" fontId="9" fillId="0" borderId="62" xfId="107" applyNumberFormat="1" applyFont="1" applyFill="1" applyBorder="1" applyAlignment="1" applyProtection="1">
      <alignment horizontal="right" vertical="center" wrapText="1"/>
      <protection locked="0"/>
    </xf>
    <xf numFmtId="49" fontId="11" fillId="0" borderId="27" xfId="107" applyNumberFormat="1" applyFont="1" applyFill="1" applyBorder="1" applyAlignment="1" applyProtection="1">
      <alignment vertical="center"/>
      <protection locked="0"/>
    </xf>
    <xf numFmtId="49" fontId="11" fillId="0" borderId="27" xfId="107" applyNumberFormat="1" applyFont="1" applyFill="1" applyBorder="1" applyAlignment="1" applyProtection="1">
      <alignment horizontal="right" vertical="center"/>
      <protection locked="0"/>
    </xf>
    <xf numFmtId="3" fontId="9" fillId="0" borderId="27" xfId="107" applyNumberFormat="1" applyFont="1" applyFill="1" applyBorder="1" applyAlignment="1" applyProtection="1">
      <alignment horizontal="right" vertical="center" wrapText="1"/>
      <protection locked="0"/>
    </xf>
    <xf numFmtId="49" fontId="25" fillId="0" borderId="17" xfId="107" applyNumberFormat="1" applyFont="1" applyFill="1" applyBorder="1" applyAlignment="1">
      <alignment horizontal="left" vertical="center"/>
    </xf>
    <xf numFmtId="168" fontId="10" fillId="0" borderId="56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>
      <alignment horizontal="left" vertical="center"/>
    </xf>
    <xf numFmtId="168" fontId="11" fillId="0" borderId="44" xfId="107" applyNumberFormat="1" applyFont="1" applyFill="1" applyBorder="1" applyAlignment="1" applyProtection="1">
      <alignment horizontal="right" vertical="center" wrapText="1"/>
    </xf>
    <xf numFmtId="49" fontId="25" fillId="0" borderId="15" xfId="107" applyNumberFormat="1" applyFont="1" applyFill="1" applyBorder="1" applyAlignment="1" applyProtection="1">
      <alignment horizontal="left" vertical="center"/>
      <protection locked="0"/>
    </xf>
    <xf numFmtId="49" fontId="25" fillId="0" borderId="19" xfId="107" applyNumberFormat="1" applyFont="1" applyFill="1" applyBorder="1" applyAlignment="1" applyProtection="1">
      <alignment horizontal="left" vertical="center"/>
      <protection locked="0"/>
    </xf>
    <xf numFmtId="167" fontId="10" fillId="0" borderId="41" xfId="107" applyNumberFormat="1" applyFont="1" applyFill="1" applyBorder="1" applyAlignment="1">
      <alignment horizontal="left" vertical="center" wrapText="1" indent="1"/>
    </xf>
    <xf numFmtId="167" fontId="54" fillId="0" borderId="0" xfId="107" applyNumberFormat="1" applyFont="1" applyFill="1" applyBorder="1" applyAlignment="1">
      <alignment horizontal="left" vertical="center" wrapText="1"/>
    </xf>
    <xf numFmtId="168" fontId="24" fillId="0" borderId="0" xfId="107" applyNumberFormat="1" applyFill="1" applyAlignment="1">
      <alignment vertical="center" wrapText="1"/>
    </xf>
    <xf numFmtId="168" fontId="11" fillId="0" borderId="41" xfId="107" applyNumberFormat="1" applyFont="1" applyFill="1" applyBorder="1" applyAlignment="1">
      <alignment horizontal="center" vertical="center" wrapText="1"/>
    </xf>
    <xf numFmtId="3" fontId="25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5" fillId="0" borderId="61" xfId="107" applyNumberFormat="1" applyFont="1" applyFill="1" applyBorder="1" applyAlignment="1" applyProtection="1">
      <alignment horizontal="right" vertical="center" wrapText="1"/>
      <protection locked="0"/>
    </xf>
    <xf numFmtId="168" fontId="11" fillId="0" borderId="41" xfId="107" applyNumberFormat="1" applyFont="1" applyFill="1" applyBorder="1" applyAlignment="1">
      <alignment horizontal="right" vertical="center" wrapText="1"/>
    </xf>
    <xf numFmtId="0" fontId="8" fillId="0" borderId="0" xfId="107" applyFont="1" applyFill="1" applyAlignment="1">
      <alignment textRotation="180"/>
    </xf>
    <xf numFmtId="0" fontId="24" fillId="0" borderId="0" xfId="107" applyFill="1" applyAlignment="1"/>
    <xf numFmtId="4" fontId="10" fillId="0" borderId="42" xfId="107" applyNumberFormat="1" applyFont="1" applyFill="1" applyBorder="1" applyAlignment="1">
      <alignment horizontal="right" vertical="center" wrapText="1"/>
    </xf>
    <xf numFmtId="0" fontId="18" fillId="0" borderId="26" xfId="107" applyFont="1" applyFill="1" applyBorder="1" applyAlignment="1" applyProtection="1">
      <alignment horizontal="center" vertical="center" wrapText="1"/>
    </xf>
    <xf numFmtId="0" fontId="18" fillId="0" borderId="25" xfId="107" applyFont="1" applyFill="1" applyBorder="1" applyAlignment="1" applyProtection="1">
      <alignment horizontal="center" vertical="center" wrapText="1"/>
    </xf>
    <xf numFmtId="173" fontId="69" fillId="0" borderId="16" xfId="105" applyNumberFormat="1" applyFont="1" applyFill="1" applyBorder="1" applyAlignment="1" applyProtection="1">
      <alignment horizontal="right" vertical="center" wrapText="1"/>
      <protection locked="0"/>
    </xf>
    <xf numFmtId="173" fontId="53" fillId="0" borderId="16" xfId="105" applyNumberFormat="1" applyFont="1" applyFill="1" applyBorder="1" applyAlignment="1" applyProtection="1">
      <alignment horizontal="right" vertical="center" wrapText="1"/>
      <protection locked="0"/>
    </xf>
    <xf numFmtId="168" fontId="19" fillId="0" borderId="0" xfId="107" applyNumberFormat="1" applyFont="1" applyFill="1" applyAlignment="1" applyProtection="1">
      <alignment vertical="center" wrapText="1"/>
    </xf>
    <xf numFmtId="168" fontId="9" fillId="0" borderId="63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4" xfId="107" applyNumberFormat="1" applyFont="1" applyFill="1" applyBorder="1" applyAlignment="1" applyProtection="1">
      <alignment horizontal="left" vertical="center" wrapText="1" indent="1"/>
    </xf>
    <xf numFmtId="168" fontId="25" fillId="0" borderId="20" xfId="107" applyNumberFormat="1" applyFont="1" applyFill="1" applyBorder="1" applyAlignment="1" applyProtection="1">
      <alignment horizontal="left" vertical="center" wrapText="1" indent="1"/>
    </xf>
    <xf numFmtId="168" fontId="25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63" xfId="107" applyNumberFormat="1" applyFont="1" applyFill="1" applyBorder="1" applyAlignment="1" applyProtection="1">
      <alignment horizontal="right" vertical="center" wrapText="1" indent="1"/>
      <protection locked="0"/>
    </xf>
    <xf numFmtId="168" fontId="9" fillId="0" borderId="34" xfId="107" applyNumberFormat="1" applyFont="1" applyFill="1" applyBorder="1" applyAlignment="1" applyProtection="1">
      <alignment horizontal="left" vertical="center" wrapText="1" indent="1"/>
      <protection locked="0"/>
    </xf>
    <xf numFmtId="168" fontId="25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66" xfId="107" applyNumberFormat="1" applyFont="1" applyFill="1" applyBorder="1" applyAlignment="1" applyProtection="1">
      <alignment horizontal="right" vertical="center" wrapText="1" indent="1"/>
    </xf>
    <xf numFmtId="168" fontId="25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8" fontId="14" fillId="0" borderId="47" xfId="107" applyNumberFormat="1" applyFont="1" applyFill="1" applyBorder="1" applyAlignment="1" applyProtection="1">
      <alignment horizontal="right" vertical="center" wrapText="1" indent="1"/>
    </xf>
    <xf numFmtId="168" fontId="25" fillId="0" borderId="76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25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67" xfId="107" applyNumberFormat="1" applyFont="1" applyFill="1" applyBorder="1" applyAlignment="1" applyProtection="1">
      <alignment horizontal="right" vertical="center" wrapText="1" indent="1"/>
      <protection locked="0"/>
    </xf>
    <xf numFmtId="168" fontId="25" fillId="0" borderId="82" xfId="107" applyNumberFormat="1" applyFont="1" applyFill="1" applyBorder="1" applyAlignment="1" applyProtection="1">
      <alignment horizontal="right" vertical="center" wrapText="1" indent="1"/>
      <protection locked="0"/>
    </xf>
    <xf numFmtId="0" fontId="51" fillId="0" borderId="0" xfId="102" applyFont="1" applyFill="1" applyAlignment="1" applyProtection="1">
      <alignment horizontal="center"/>
    </xf>
    <xf numFmtId="168" fontId="23" fillId="0" borderId="0" xfId="102" applyNumberFormat="1" applyFont="1" applyFill="1" applyBorder="1" applyAlignment="1" applyProtection="1">
      <alignment horizontal="center" vertical="center"/>
    </xf>
    <xf numFmtId="0" fontId="18" fillId="0" borderId="20" xfId="102" applyFont="1" applyFill="1" applyBorder="1" applyAlignment="1" applyProtection="1">
      <alignment horizontal="center" vertical="center" wrapText="1"/>
    </xf>
    <xf numFmtId="0" fontId="18" fillId="0" borderId="22" xfId="102" applyFont="1" applyFill="1" applyBorder="1" applyAlignment="1" applyProtection="1">
      <alignment horizontal="center" vertical="center" wrapText="1"/>
    </xf>
    <xf numFmtId="0" fontId="18" fillId="0" borderId="21" xfId="102" applyFont="1" applyFill="1" applyBorder="1" applyAlignment="1" applyProtection="1">
      <alignment horizontal="center" vertical="center" wrapText="1"/>
    </xf>
    <xf numFmtId="0" fontId="18" fillId="0" borderId="28" xfId="102" applyFont="1" applyFill="1" applyBorder="1" applyAlignment="1" applyProtection="1">
      <alignment horizontal="center" vertical="center" wrapText="1"/>
    </xf>
    <xf numFmtId="168" fontId="29" fillId="0" borderId="21" xfId="102" applyNumberFormat="1" applyFont="1" applyFill="1" applyBorder="1" applyAlignment="1" applyProtection="1">
      <alignment horizontal="center" vertical="center"/>
    </xf>
    <xf numFmtId="168" fontId="29" fillId="0" borderId="63" xfId="102" applyNumberFormat="1" applyFont="1" applyFill="1" applyBorder="1" applyAlignment="1" applyProtection="1">
      <alignment horizontal="center" vertical="center"/>
    </xf>
    <xf numFmtId="168" fontId="29" fillId="0" borderId="56" xfId="107" applyNumberFormat="1" applyFont="1" applyFill="1" applyBorder="1" applyAlignment="1" applyProtection="1">
      <alignment horizontal="center" vertical="center" wrapText="1"/>
    </xf>
    <xf numFmtId="168" fontId="29" fillId="0" borderId="54" xfId="107" applyNumberFormat="1" applyFont="1" applyFill="1" applyBorder="1" applyAlignment="1" applyProtection="1">
      <alignment horizontal="center" vertical="center" wrapText="1"/>
    </xf>
    <xf numFmtId="168" fontId="8" fillId="0" borderId="0" xfId="107" applyNumberFormat="1" applyFont="1" applyFill="1" applyAlignment="1" applyProtection="1">
      <alignment horizontal="center" vertical="center" textRotation="180" wrapText="1"/>
    </xf>
    <xf numFmtId="168" fontId="29" fillId="0" borderId="57" xfId="107" applyNumberFormat="1" applyFont="1" applyFill="1" applyBorder="1" applyAlignment="1" applyProtection="1">
      <alignment horizontal="center" vertical="center" wrapText="1"/>
    </xf>
    <xf numFmtId="168" fontId="29" fillId="0" borderId="61" xfId="107" applyNumberFormat="1" applyFont="1" applyFill="1" applyBorder="1" applyAlignment="1" applyProtection="1">
      <alignment horizontal="center" vertical="center" wrapText="1"/>
    </xf>
    <xf numFmtId="168" fontId="8" fillId="0" borderId="0" xfId="107" applyNumberFormat="1" applyFont="1" applyFill="1" applyAlignment="1" applyProtection="1">
      <alignment horizontal="center" vertical="center" textRotation="180" wrapText="1"/>
      <protection locked="0"/>
    </xf>
    <xf numFmtId="168" fontId="49" fillId="0" borderId="27" xfId="107" applyNumberFormat="1" applyFont="1" applyFill="1" applyBorder="1" applyAlignment="1" applyProtection="1">
      <alignment horizontal="right" wrapText="1"/>
    </xf>
    <xf numFmtId="168" fontId="51" fillId="0" borderId="0" xfId="107" applyNumberFormat="1" applyFont="1" applyFill="1" applyAlignment="1">
      <alignment horizontal="center" vertical="center" wrapText="1"/>
    </xf>
    <xf numFmtId="168" fontId="51" fillId="0" borderId="27" xfId="107" applyNumberFormat="1" applyFont="1" applyFill="1" applyBorder="1" applyAlignment="1" applyProtection="1">
      <alignment horizontal="center" vertical="center" wrapText="1"/>
    </xf>
    <xf numFmtId="168" fontId="24" fillId="0" borderId="16" xfId="99" applyNumberFormat="1" applyFont="1" applyFill="1" applyBorder="1" applyAlignment="1" applyProtection="1">
      <alignment horizontal="right" vertical="center" wrapText="1"/>
    </xf>
    <xf numFmtId="168" fontId="8" fillId="0" borderId="0" xfId="107" applyNumberFormat="1" applyFont="1" applyFill="1" applyAlignment="1">
      <alignment horizontal="center" vertical="center" textRotation="180" wrapText="1"/>
    </xf>
    <xf numFmtId="168" fontId="51" fillId="0" borderId="0" xfId="107" applyNumberFormat="1" applyFont="1" applyFill="1" applyAlignment="1">
      <alignment horizontal="left" vertical="center" wrapText="1"/>
    </xf>
    <xf numFmtId="168" fontId="24" fillId="0" borderId="0" xfId="107" applyNumberFormat="1" applyFont="1" applyFill="1" applyAlignment="1" applyProtection="1">
      <alignment horizontal="left" vertical="center" wrapText="1"/>
      <protection locked="0"/>
    </xf>
    <xf numFmtId="168" fontId="24" fillId="0" borderId="0" xfId="107" applyNumberFormat="1" applyFill="1" applyAlignment="1" applyProtection="1">
      <alignment horizontal="left" vertical="center" wrapText="1"/>
      <protection locked="0"/>
    </xf>
    <xf numFmtId="0" fontId="8" fillId="0" borderId="0" xfId="107" applyFont="1" applyFill="1" applyAlignment="1">
      <alignment horizontal="center" vertical="center" textRotation="180"/>
    </xf>
    <xf numFmtId="168" fontId="20" fillId="0" borderId="27" xfId="107" applyNumberFormat="1" applyFont="1" applyFill="1" applyBorder="1" applyAlignment="1">
      <alignment horizontal="center" vertical="center" wrapText="1"/>
    </xf>
    <xf numFmtId="168" fontId="49" fillId="0" borderId="27" xfId="107" applyNumberFormat="1" applyFont="1" applyFill="1" applyBorder="1" applyAlignment="1">
      <alignment horizontal="right" vertical="center"/>
    </xf>
    <xf numFmtId="168" fontId="18" fillId="0" borderId="85" xfId="107" applyNumberFormat="1" applyFont="1" applyFill="1" applyBorder="1" applyAlignment="1">
      <alignment horizontal="center" vertical="center"/>
    </xf>
    <xf numFmtId="168" fontId="18" fillId="0" borderId="46" xfId="107" applyNumberFormat="1" applyFont="1" applyFill="1" applyBorder="1" applyAlignment="1">
      <alignment horizontal="center" vertical="center"/>
    </xf>
    <xf numFmtId="168" fontId="18" fillId="0" borderId="53" xfId="107" applyNumberFormat="1" applyFont="1" applyFill="1" applyBorder="1" applyAlignment="1">
      <alignment horizontal="center" vertical="center"/>
    </xf>
    <xf numFmtId="168" fontId="29" fillId="0" borderId="41" xfId="107" applyNumberFormat="1" applyFont="1" applyFill="1" applyBorder="1" applyAlignment="1">
      <alignment horizontal="center" vertical="center" wrapText="1"/>
    </xf>
    <xf numFmtId="168" fontId="18" fillId="0" borderId="56" xfId="107" applyNumberFormat="1" applyFont="1" applyFill="1" applyBorder="1" applyAlignment="1">
      <alignment horizontal="center" vertical="center" wrapText="1"/>
    </xf>
    <xf numFmtId="168" fontId="18" fillId="0" borderId="49" xfId="107" applyNumberFormat="1" applyFont="1" applyFill="1" applyBorder="1" applyAlignment="1">
      <alignment horizontal="center" vertical="center" wrapText="1"/>
    </xf>
    <xf numFmtId="168" fontId="10" fillId="0" borderId="41" xfId="107" applyNumberFormat="1" applyFont="1" applyFill="1" applyBorder="1" applyAlignment="1">
      <alignment horizontal="center" vertical="center"/>
    </xf>
    <xf numFmtId="168" fontId="10" fillId="0" borderId="41" xfId="107" applyNumberFormat="1" applyFont="1" applyFill="1" applyBorder="1" applyAlignment="1">
      <alignment horizontal="center" vertical="center" wrapText="1"/>
    </xf>
    <xf numFmtId="168" fontId="6" fillId="0" borderId="26" xfId="107" applyNumberFormat="1" applyFont="1" applyFill="1" applyBorder="1" applyAlignment="1">
      <alignment horizontal="left" vertical="center" wrapText="1" indent="2"/>
    </xf>
    <xf numFmtId="168" fontId="6" fillId="0" borderId="83" xfId="107" applyNumberFormat="1" applyFont="1" applyFill="1" applyBorder="1" applyAlignment="1">
      <alignment horizontal="left" vertical="center" wrapText="1" indent="2"/>
    </xf>
    <xf numFmtId="168" fontId="18" fillId="0" borderId="41" xfId="107" applyNumberFormat="1" applyFont="1" applyFill="1" applyBorder="1" applyAlignment="1">
      <alignment horizontal="center" vertical="center" wrapText="1"/>
    </xf>
    <xf numFmtId="168" fontId="24" fillId="0" borderId="64" xfId="107" applyNumberFormat="1" applyFill="1" applyBorder="1" applyAlignment="1" applyProtection="1">
      <alignment horizontal="left" vertical="center" wrapText="1"/>
      <protection locked="0"/>
    </xf>
    <xf numFmtId="168" fontId="24" fillId="0" borderId="84" xfId="107" applyNumberFormat="1" applyFill="1" applyBorder="1" applyAlignment="1" applyProtection="1">
      <alignment horizontal="left" vertical="center" wrapText="1"/>
      <protection locked="0"/>
    </xf>
    <xf numFmtId="167" fontId="54" fillId="0" borderId="62" xfId="107" applyNumberFormat="1" applyFont="1" applyFill="1" applyBorder="1" applyAlignment="1">
      <alignment horizontal="left" vertical="center" wrapText="1"/>
    </xf>
    <xf numFmtId="167" fontId="23" fillId="0" borderId="0" xfId="107" applyNumberFormat="1" applyFont="1" applyFill="1" applyBorder="1" applyAlignment="1">
      <alignment horizontal="center" vertical="center" wrapText="1"/>
    </xf>
    <xf numFmtId="168" fontId="6" fillId="0" borderId="26" xfId="107" applyNumberFormat="1" applyFont="1" applyFill="1" applyBorder="1" applyAlignment="1">
      <alignment horizontal="center" vertical="center" wrapText="1"/>
    </xf>
    <xf numFmtId="168" fontId="6" fillId="0" borderId="83" xfId="107" applyNumberFormat="1" applyFont="1" applyFill="1" applyBorder="1" applyAlignment="1">
      <alignment horizontal="center" vertical="center" wrapText="1"/>
    </xf>
    <xf numFmtId="168" fontId="24" fillId="0" borderId="55" xfId="107" applyNumberFormat="1" applyFill="1" applyBorder="1" applyAlignment="1" applyProtection="1">
      <alignment horizontal="left" vertical="center" wrapText="1"/>
      <protection locked="0"/>
    </xf>
    <xf numFmtId="168" fontId="24" fillId="0" borderId="75" xfId="107" applyNumberFormat="1" applyFill="1" applyBorder="1" applyAlignment="1" applyProtection="1">
      <alignment horizontal="left" vertical="center" wrapText="1"/>
      <protection locked="0"/>
    </xf>
    <xf numFmtId="0" fontId="51" fillId="0" borderId="0" xfId="122" applyFont="1" applyFill="1" applyAlignment="1" applyProtection="1">
      <alignment horizontal="left" vertical="center" wrapText="1"/>
    </xf>
    <xf numFmtId="0" fontId="51" fillId="0" borderId="0" xfId="122" applyFont="1" applyFill="1" applyAlignment="1" applyProtection="1">
      <alignment horizontal="left" wrapText="1"/>
    </xf>
    <xf numFmtId="0" fontId="7" fillId="0" borderId="26" xfId="107" applyFont="1" applyFill="1" applyBorder="1" applyAlignment="1" applyProtection="1">
      <alignment horizontal="left" vertical="center"/>
    </xf>
    <xf numFmtId="0" fontId="7" fillId="0" borderId="40" xfId="107" applyFont="1" applyFill="1" applyBorder="1" applyAlignment="1" applyProtection="1">
      <alignment horizontal="left" vertical="center"/>
    </xf>
    <xf numFmtId="0" fontId="18" fillId="0" borderId="26" xfId="107" applyFont="1" applyFill="1" applyBorder="1" applyAlignment="1" applyProtection="1">
      <alignment horizontal="center" vertical="center" wrapText="1"/>
    </xf>
    <xf numFmtId="0" fontId="18" fillId="0" borderId="83" xfId="107" applyFont="1" applyFill="1" applyBorder="1" applyAlignment="1" applyProtection="1">
      <alignment horizontal="center" vertical="center" wrapText="1"/>
    </xf>
    <xf numFmtId="0" fontId="18" fillId="0" borderId="30" xfId="107" applyFont="1" applyFill="1" applyBorder="1" applyAlignment="1" applyProtection="1">
      <alignment horizontal="center" vertical="center" wrapText="1"/>
    </xf>
    <xf numFmtId="0" fontId="18" fillId="0" borderId="74" xfId="107" applyFont="1" applyFill="1" applyBorder="1" applyAlignment="1" applyProtection="1">
      <alignment horizontal="center" vertical="center"/>
      <protection locked="0"/>
    </xf>
    <xf numFmtId="0" fontId="18" fillId="0" borderId="75" xfId="107" applyFont="1" applyFill="1" applyBorder="1" applyAlignment="1" applyProtection="1">
      <alignment horizontal="center" vertical="center"/>
      <protection locked="0"/>
    </xf>
    <xf numFmtId="0" fontId="18" fillId="0" borderId="38" xfId="107" applyFont="1" applyFill="1" applyBorder="1" applyAlignment="1" applyProtection="1">
      <alignment horizontal="center" vertical="center"/>
      <protection locked="0"/>
    </xf>
    <xf numFmtId="0" fontId="18" fillId="0" borderId="76" xfId="107" applyFont="1" applyFill="1" applyBorder="1" applyAlignment="1" applyProtection="1">
      <alignment horizontal="center" vertical="center"/>
    </xf>
    <xf numFmtId="0" fontId="18" fillId="0" borderId="84" xfId="107" applyFont="1" applyFill="1" applyBorder="1" applyAlignment="1" applyProtection="1">
      <alignment horizontal="center" vertical="center"/>
    </xf>
    <xf numFmtId="0" fontId="18" fillId="0" borderId="39" xfId="107" applyFont="1" applyFill="1" applyBorder="1" applyAlignment="1" applyProtection="1">
      <alignment horizontal="center" vertical="center"/>
    </xf>
    <xf numFmtId="0" fontId="18" fillId="0" borderId="84" xfId="107" quotePrefix="1" applyFont="1" applyFill="1" applyBorder="1" applyAlignment="1" applyProtection="1">
      <alignment horizontal="center" vertical="center"/>
    </xf>
    <xf numFmtId="0" fontId="18" fillId="0" borderId="39" xfId="107" quotePrefix="1" applyFont="1" applyFill="1" applyBorder="1" applyAlignment="1" applyProtection="1">
      <alignment horizontal="center" vertical="center"/>
    </xf>
    <xf numFmtId="0" fontId="6" fillId="0" borderId="64" xfId="107" applyFont="1" applyFill="1" applyBorder="1" applyAlignment="1" applyProtection="1">
      <alignment horizontal="left" vertical="center" wrapText="1"/>
    </xf>
    <xf numFmtId="0" fontId="6" fillId="0" borderId="73" xfId="107" applyFont="1" applyFill="1" applyBorder="1" applyAlignment="1" applyProtection="1">
      <alignment horizontal="left" vertical="center" wrapText="1"/>
    </xf>
    <xf numFmtId="0" fontId="7" fillId="0" borderId="15" xfId="107" applyFont="1" applyFill="1" applyBorder="1" applyAlignment="1" applyProtection="1">
      <alignment horizontal="left" vertical="center" wrapText="1"/>
    </xf>
    <xf numFmtId="0" fontId="7" fillId="0" borderId="16" xfId="107" applyFont="1" applyFill="1" applyBorder="1" applyAlignment="1" applyProtection="1">
      <alignment horizontal="left" vertical="center" wrapText="1"/>
    </xf>
    <xf numFmtId="0" fontId="29" fillId="0" borderId="11" xfId="107" applyFont="1" applyFill="1" applyBorder="1" applyAlignment="1" applyProtection="1">
      <alignment horizontal="center" vertical="center" wrapText="1"/>
    </xf>
    <xf numFmtId="0" fontId="29" fillId="0" borderId="36" xfId="107" applyFont="1" applyFill="1" applyBorder="1" applyAlignment="1" applyProtection="1">
      <alignment horizontal="center" vertical="center" wrapText="1"/>
    </xf>
    <xf numFmtId="0" fontId="18" fillId="0" borderId="26" xfId="107" applyFont="1" applyFill="1" applyBorder="1" applyAlignment="1" applyProtection="1">
      <alignment horizontal="left" vertical="center" wrapText="1" indent="1"/>
    </xf>
    <xf numFmtId="0" fontId="18" fillId="0" borderId="40" xfId="107" applyFont="1" applyFill="1" applyBorder="1" applyAlignment="1" applyProtection="1">
      <alignment horizontal="left" vertical="center" wrapText="1" indent="1"/>
    </xf>
    <xf numFmtId="0" fontId="18" fillId="0" borderId="12" xfId="107" applyFont="1" applyFill="1" applyBorder="1" applyAlignment="1" applyProtection="1">
      <alignment horizontal="center" vertical="center" wrapText="1"/>
    </xf>
    <xf numFmtId="0" fontId="18" fillId="0" borderId="34" xfId="107" applyFont="1" applyFill="1" applyBorder="1" applyAlignment="1" applyProtection="1">
      <alignment horizontal="center" vertical="center" wrapText="1"/>
    </xf>
    <xf numFmtId="0" fontId="18" fillId="0" borderId="25" xfId="107" applyFont="1" applyFill="1" applyBorder="1" applyAlignment="1" applyProtection="1">
      <alignment horizontal="center" vertical="center" wrapText="1"/>
    </xf>
    <xf numFmtId="0" fontId="18" fillId="0" borderId="35" xfId="107" applyFont="1" applyFill="1" applyBorder="1" applyAlignment="1" applyProtection="1">
      <alignment horizontal="center" vertical="center" wrapText="1"/>
    </xf>
    <xf numFmtId="168" fontId="18" fillId="0" borderId="56" xfId="107" applyNumberFormat="1" applyFont="1" applyFill="1" applyBorder="1" applyAlignment="1" applyProtection="1">
      <alignment horizontal="center" vertical="center" wrapText="1"/>
    </xf>
    <xf numFmtId="168" fontId="18" fillId="0" borderId="54" xfId="107" applyNumberFormat="1" applyFont="1" applyFill="1" applyBorder="1" applyAlignment="1" applyProtection="1">
      <alignment horizontal="center" vertical="center" wrapText="1"/>
    </xf>
    <xf numFmtId="168" fontId="24" fillId="0" borderId="27" xfId="107" applyNumberFormat="1" applyFont="1" applyFill="1" applyBorder="1" applyAlignment="1" applyProtection="1">
      <alignment horizontal="center" vertical="center" wrapText="1"/>
      <protection locked="0"/>
    </xf>
    <xf numFmtId="168" fontId="18" fillId="0" borderId="12" xfId="107" applyNumberFormat="1" applyFont="1" applyFill="1" applyBorder="1" applyAlignment="1" applyProtection="1">
      <alignment horizontal="center" vertical="center" wrapText="1"/>
    </xf>
    <xf numFmtId="168" fontId="18" fillId="0" borderId="34" xfId="107" applyNumberFormat="1" applyFont="1" applyFill="1" applyBorder="1" applyAlignment="1" applyProtection="1">
      <alignment horizontal="center" vertical="center" wrapText="1"/>
    </xf>
    <xf numFmtId="168" fontId="18" fillId="0" borderId="25" xfId="107" applyNumberFormat="1" applyFont="1" applyFill="1" applyBorder="1" applyAlignment="1" applyProtection="1">
      <alignment horizontal="center" vertical="center" wrapText="1"/>
    </xf>
    <xf numFmtId="168" fontId="18" fillId="0" borderId="35" xfId="107" applyNumberFormat="1" applyFont="1" applyFill="1" applyBorder="1" applyAlignment="1" applyProtection="1">
      <alignment horizontal="center" vertical="center"/>
    </xf>
    <xf numFmtId="168" fontId="18" fillId="0" borderId="35" xfId="107" applyNumberFormat="1" applyFont="1" applyFill="1" applyBorder="1" applyAlignment="1" applyProtection="1">
      <alignment horizontal="center" vertical="center" wrapText="1"/>
    </xf>
    <xf numFmtId="168" fontId="20" fillId="0" borderId="0" xfId="107" applyNumberFormat="1" applyFont="1" applyFill="1" applyAlignment="1">
      <alignment horizontal="center" textRotation="180" wrapText="1"/>
    </xf>
    <xf numFmtId="0" fontId="77" fillId="0" borderId="27" xfId="107" applyFont="1" applyFill="1" applyBorder="1" applyAlignment="1">
      <alignment horizontal="center"/>
    </xf>
    <xf numFmtId="0" fontId="27" fillId="0" borderId="27" xfId="107" applyFont="1" applyFill="1" applyBorder="1" applyAlignment="1">
      <alignment horizontal="right"/>
    </xf>
    <xf numFmtId="0" fontId="18" fillId="0" borderId="85" xfId="107" applyFont="1" applyFill="1" applyBorder="1" applyAlignment="1">
      <alignment horizontal="center" vertical="center" wrapText="1"/>
    </xf>
    <xf numFmtId="0" fontId="18" fillId="0" borderId="53" xfId="107" applyFont="1" applyFill="1" applyBorder="1" applyAlignment="1">
      <alignment horizontal="center" vertical="center" wrapText="1"/>
    </xf>
    <xf numFmtId="0" fontId="18" fillId="0" borderId="25" xfId="107" applyFont="1" applyFill="1" applyBorder="1" applyAlignment="1">
      <alignment horizontal="center" vertical="center" wrapText="1"/>
    </xf>
    <xf numFmtId="0" fontId="18" fillId="0" borderId="35" xfId="107" applyFont="1" applyFill="1" applyBorder="1" applyAlignment="1">
      <alignment horizontal="center" vertical="center" wrapText="1"/>
    </xf>
    <xf numFmtId="0" fontId="18" fillId="0" borderId="62" xfId="107" applyFont="1" applyFill="1" applyBorder="1" applyAlignment="1">
      <alignment horizontal="center" vertical="center" wrapText="1"/>
    </xf>
    <xf numFmtId="0" fontId="18" fillId="0" borderId="27" xfId="107" applyFont="1" applyFill="1" applyBorder="1" applyAlignment="1">
      <alignment horizontal="center" vertical="center" wrapText="1"/>
    </xf>
    <xf numFmtId="0" fontId="29" fillId="0" borderId="77" xfId="107" applyFont="1" applyFill="1" applyBorder="1" applyAlignment="1">
      <alignment horizontal="center"/>
    </xf>
    <xf numFmtId="0" fontId="29" fillId="0" borderId="83" xfId="107" applyFont="1" applyFill="1" applyBorder="1" applyAlignment="1">
      <alignment horizontal="center"/>
    </xf>
    <xf numFmtId="0" fontId="18" fillId="0" borderId="67" xfId="107" applyFont="1" applyFill="1" applyBorder="1" applyAlignment="1">
      <alignment horizontal="center" vertical="center" wrapText="1"/>
    </xf>
    <xf numFmtId="0" fontId="18" fillId="0" borderId="52" xfId="107" applyFont="1" applyFill="1" applyBorder="1" applyAlignment="1">
      <alignment horizontal="center" vertical="center" wrapText="1"/>
    </xf>
    <xf numFmtId="0" fontId="18" fillId="0" borderId="85" xfId="107" applyFont="1" applyFill="1" applyBorder="1" applyAlignment="1">
      <alignment horizontal="left" vertical="center" wrapText="1"/>
    </xf>
    <xf numFmtId="0" fontId="18" fillId="0" borderId="62" xfId="107" applyFont="1" applyFill="1" applyBorder="1" applyAlignment="1">
      <alignment horizontal="left" vertical="center" wrapText="1"/>
    </xf>
    <xf numFmtId="0" fontId="18" fillId="0" borderId="37" xfId="107" applyFont="1" applyFill="1" applyBorder="1" applyAlignment="1">
      <alignment horizontal="left" vertical="center" wrapText="1"/>
    </xf>
    <xf numFmtId="0" fontId="11" fillId="0" borderId="26" xfId="107" applyFont="1" applyFill="1" applyBorder="1" applyAlignment="1" applyProtection="1">
      <alignment horizontal="left" vertical="center"/>
    </xf>
    <xf numFmtId="0" fontId="11" fillId="0" borderId="40" xfId="107" applyFont="1" applyFill="1" applyBorder="1" applyAlignment="1" applyProtection="1">
      <alignment horizontal="left" vertical="center"/>
    </xf>
    <xf numFmtId="0" fontId="18" fillId="0" borderId="85" xfId="107" applyFont="1" applyFill="1" applyBorder="1" applyAlignment="1" applyProtection="1">
      <alignment horizontal="left" vertical="center" wrapText="1"/>
    </xf>
    <xf numFmtId="0" fontId="18" fillId="0" borderId="62" xfId="107" applyFont="1" applyFill="1" applyBorder="1" applyAlignment="1" applyProtection="1">
      <alignment horizontal="left" vertical="center" wrapText="1"/>
    </xf>
    <xf numFmtId="0" fontId="18" fillId="0" borderId="37" xfId="107" applyFont="1" applyFill="1" applyBorder="1" applyAlignment="1" applyProtection="1">
      <alignment horizontal="left" vertical="center" wrapText="1"/>
    </xf>
    <xf numFmtId="0" fontId="6" fillId="0" borderId="26" xfId="107" applyFont="1" applyFill="1" applyBorder="1" applyAlignment="1" applyProtection="1">
      <alignment horizontal="left" vertical="center"/>
    </xf>
    <xf numFmtId="0" fontId="6" fillId="0" borderId="40" xfId="107" applyFont="1" applyFill="1" applyBorder="1" applyAlignment="1" applyProtection="1">
      <alignment horizontal="left" vertical="center"/>
    </xf>
    <xf numFmtId="0" fontId="51" fillId="0" borderId="0" xfId="107" applyFont="1" applyFill="1" applyAlignment="1">
      <alignment horizontal="center" vertical="center" wrapText="1"/>
    </xf>
    <xf numFmtId="0" fontId="51" fillId="0" borderId="0" xfId="107" applyFont="1" applyFill="1" applyAlignment="1">
      <alignment horizontal="center" vertical="center"/>
    </xf>
    <xf numFmtId="0" fontId="25" fillId="0" borderId="62" xfId="107" applyFont="1" applyFill="1" applyBorder="1" applyAlignment="1">
      <alignment horizontal="justify" vertical="center" wrapText="1"/>
    </xf>
    <xf numFmtId="0" fontId="51" fillId="0" borderId="0" xfId="117" applyFont="1" applyAlignment="1">
      <alignment horizontal="center" wrapText="1"/>
    </xf>
    <xf numFmtId="0" fontId="48" fillId="0" borderId="0" xfId="117" applyFont="1" applyAlignment="1" applyProtection="1">
      <alignment horizontal="right"/>
    </xf>
    <xf numFmtId="0" fontId="29" fillId="0" borderId="53" xfId="117" applyFont="1" applyBorder="1" applyAlignment="1" applyProtection="1">
      <alignment horizontal="left" vertical="center" indent="2"/>
    </xf>
    <xf numFmtId="0" fontId="29" fillId="0" borderId="65" xfId="117" applyFont="1" applyBorder="1" applyAlignment="1" applyProtection="1">
      <alignment horizontal="left" vertical="center" indent="2"/>
    </xf>
    <xf numFmtId="0" fontId="58" fillId="0" borderId="0" xfId="105" applyFont="1" applyFill="1" applyAlignment="1" applyProtection="1">
      <alignment horizontal="left"/>
    </xf>
    <xf numFmtId="0" fontId="65" fillId="0" borderId="0" xfId="105" applyFont="1" applyFill="1" applyBorder="1" applyAlignment="1" applyProtection="1">
      <alignment horizontal="center" vertical="center" wrapText="1"/>
    </xf>
    <xf numFmtId="0" fontId="65" fillId="0" borderId="16" xfId="105" applyFont="1" applyFill="1" applyBorder="1" applyAlignment="1" applyProtection="1">
      <alignment horizontal="center" wrapText="1"/>
    </xf>
    <xf numFmtId="0" fontId="65" fillId="0" borderId="45" xfId="105" applyFont="1" applyFill="1" applyBorder="1" applyAlignment="1" applyProtection="1">
      <alignment horizontal="center" wrapText="1"/>
    </xf>
    <xf numFmtId="0" fontId="65" fillId="0" borderId="0" xfId="105" applyFont="1" applyFill="1" applyBorder="1" applyAlignment="1" applyProtection="1">
      <alignment horizontal="center" wrapText="1"/>
    </xf>
    <xf numFmtId="0" fontId="66" fillId="0" borderId="12" xfId="105" applyFont="1" applyFill="1" applyBorder="1" applyAlignment="1" applyProtection="1">
      <alignment horizontal="center" vertical="center" wrapText="1"/>
    </xf>
    <xf numFmtId="0" fontId="66" fillId="0" borderId="13" xfId="105" applyFont="1" applyFill="1" applyBorder="1" applyAlignment="1" applyProtection="1">
      <alignment horizontal="center" vertical="center" wrapText="1"/>
    </xf>
    <xf numFmtId="0" fontId="66" fillId="0" borderId="17" xfId="105" applyFont="1" applyFill="1" applyBorder="1" applyAlignment="1" applyProtection="1">
      <alignment horizontal="center" vertical="center" wrapText="1"/>
    </xf>
    <xf numFmtId="0" fontId="30" fillId="0" borderId="25" xfId="104" applyFont="1" applyFill="1" applyBorder="1" applyAlignment="1" applyProtection="1">
      <alignment horizontal="center" vertical="center" textRotation="90"/>
    </xf>
    <xf numFmtId="0" fontId="30" fillId="0" borderId="14" xfId="104" applyFont="1" applyFill="1" applyBorder="1" applyAlignment="1" applyProtection="1">
      <alignment horizontal="center" vertical="center" textRotation="90"/>
    </xf>
    <xf numFmtId="0" fontId="30" fillId="0" borderId="18" xfId="104" applyFont="1" applyFill="1" applyBorder="1" applyAlignment="1" applyProtection="1">
      <alignment horizontal="center" vertical="center" textRotation="90"/>
    </xf>
    <xf numFmtId="0" fontId="82" fillId="0" borderId="0" xfId="105" applyFont="1" applyFill="1" applyAlignment="1" applyProtection="1">
      <alignment horizontal="center" vertical="center" wrapText="1"/>
    </xf>
    <xf numFmtId="0" fontId="65" fillId="0" borderId="0" xfId="105" applyFont="1" applyFill="1" applyBorder="1" applyAlignment="1" applyProtection="1">
      <alignment horizontal="right"/>
    </xf>
    <xf numFmtId="0" fontId="65" fillId="0" borderId="21" xfId="105" applyFont="1" applyFill="1" applyBorder="1" applyAlignment="1" applyProtection="1">
      <alignment horizontal="center" vertical="center" wrapText="1"/>
    </xf>
    <xf numFmtId="0" fontId="65" fillId="0" borderId="16" xfId="105" applyFont="1" applyFill="1" applyBorder="1" applyAlignment="1" applyProtection="1">
      <alignment horizontal="center" vertical="center" wrapText="1"/>
    </xf>
    <xf numFmtId="0" fontId="65" fillId="0" borderId="67" xfId="105" applyFont="1" applyFill="1" applyBorder="1" applyAlignment="1" applyProtection="1">
      <alignment horizontal="center" vertical="center" wrapText="1"/>
    </xf>
    <xf numFmtId="0" fontId="65" fillId="0" borderId="43" xfId="105" applyFont="1" applyFill="1" applyBorder="1" applyAlignment="1" applyProtection="1">
      <alignment horizontal="center" vertical="center" wrapText="1"/>
    </xf>
    <xf numFmtId="0" fontId="58" fillId="0" borderId="0" xfId="105" applyFont="1" applyFill="1" applyAlignment="1" applyProtection="1">
      <alignment horizontal="center"/>
    </xf>
    <xf numFmtId="0" fontId="6" fillId="0" borderId="0" xfId="104" applyFont="1" applyFill="1" applyAlignment="1" applyProtection="1">
      <alignment horizontal="center" vertical="center" wrapText="1"/>
    </xf>
    <xf numFmtId="0" fontId="79" fillId="0" borderId="0" xfId="104" applyFont="1" applyFill="1" applyAlignment="1" applyProtection="1">
      <alignment horizontal="center" vertical="center" wrapText="1"/>
    </xf>
    <xf numFmtId="0" fontId="48" fillId="0" borderId="0" xfId="104" applyFont="1" applyFill="1" applyBorder="1" applyAlignment="1" applyProtection="1">
      <alignment horizontal="right" vertical="center"/>
    </xf>
    <xf numFmtId="0" fontId="51" fillId="0" borderId="20" xfId="104" applyFont="1" applyFill="1" applyBorder="1" applyAlignment="1" applyProtection="1">
      <alignment horizontal="center" vertical="center" wrapText="1"/>
    </xf>
    <xf numFmtId="0" fontId="51" fillId="0" borderId="15" xfId="104" applyFont="1" applyFill="1" applyBorder="1" applyAlignment="1" applyProtection="1">
      <alignment horizontal="center" vertical="center" wrapText="1"/>
    </xf>
    <xf numFmtId="0" fontId="30" fillId="0" borderId="21" xfId="104" applyFont="1" applyFill="1" applyBorder="1" applyAlignment="1" applyProtection="1">
      <alignment horizontal="center" vertical="center" textRotation="90"/>
    </xf>
    <xf numFmtId="0" fontId="30" fillId="0" borderId="16" xfId="104" applyFont="1" applyFill="1" applyBorder="1" applyAlignment="1" applyProtection="1">
      <alignment horizontal="center" vertical="center" textRotation="90"/>
    </xf>
    <xf numFmtId="0" fontId="49" fillId="0" borderId="63" xfId="104" applyFont="1" applyFill="1" applyBorder="1" applyAlignment="1" applyProtection="1">
      <alignment horizontal="center" vertical="center" wrapText="1"/>
    </xf>
    <xf numFmtId="0" fontId="49" fillId="0" borderId="45" xfId="104" applyFont="1" applyFill="1" applyBorder="1" applyAlignment="1" applyProtection="1">
      <alignment horizontal="center" vertical="center"/>
    </xf>
    <xf numFmtId="0" fontId="82" fillId="0" borderId="0" xfId="105" applyFont="1" applyFill="1" applyAlignment="1">
      <alignment horizontal="center" vertical="center" wrapText="1"/>
    </xf>
    <xf numFmtId="0" fontId="59" fillId="0" borderId="26" xfId="105" applyFont="1" applyFill="1" applyBorder="1" applyAlignment="1">
      <alignment horizontal="left"/>
    </xf>
    <xf numFmtId="0" fontId="59" fillId="0" borderId="40" xfId="105" applyFont="1" applyFill="1" applyBorder="1" applyAlignment="1">
      <alignment horizontal="left"/>
    </xf>
    <xf numFmtId="3" fontId="58" fillId="0" borderId="0" xfId="105" applyNumberFormat="1" applyFont="1" applyFill="1" applyAlignment="1">
      <alignment horizontal="center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0" fontId="59" fillId="0" borderId="26" xfId="105" applyFont="1" applyFill="1" applyBorder="1" applyAlignment="1">
      <alignment horizontal="left" indent="1"/>
    </xf>
    <xf numFmtId="0" fontId="59" fillId="0" borderId="40" xfId="105" applyFont="1" applyFill="1" applyBorder="1" applyAlignment="1">
      <alignment horizontal="left" indent="1"/>
    </xf>
    <xf numFmtId="0" fontId="83" fillId="0" borderId="0" xfId="107" applyFont="1" applyAlignment="1" applyProtection="1">
      <alignment horizontal="center" vertical="center" wrapText="1"/>
      <protection locked="0"/>
    </xf>
    <xf numFmtId="0" fontId="57" fillId="0" borderId="10" xfId="107" applyFont="1" applyBorder="1" applyAlignment="1" applyProtection="1">
      <alignment wrapText="1"/>
    </xf>
    <xf numFmtId="0" fontId="57" fillId="0" borderId="11" xfId="107" applyFont="1" applyBorder="1" applyAlignment="1" applyProtection="1">
      <alignment wrapText="1"/>
    </xf>
    <xf numFmtId="0" fontId="8" fillId="0" borderId="0" xfId="107" applyFont="1" applyAlignment="1" applyProtection="1">
      <alignment horizontal="center" vertical="center" textRotation="180"/>
    </xf>
    <xf numFmtId="0" fontId="21" fillId="0" borderId="0" xfId="107" applyFont="1" applyFill="1" applyAlignment="1" applyProtection="1">
      <alignment horizontal="center" vertical="top" wrapText="1"/>
      <protection locked="0"/>
    </xf>
    <xf numFmtId="168" fontId="21" fillId="0" borderId="0" xfId="102" applyNumberFormat="1" applyFont="1" applyFill="1" applyBorder="1" applyAlignment="1" applyProtection="1">
      <alignment horizontal="center" vertical="center" wrapText="1"/>
    </xf>
    <xf numFmtId="0" fontId="29" fillId="0" borderId="10" xfId="102" applyFont="1" applyFill="1" applyBorder="1" applyAlignment="1" applyProtection="1">
      <alignment horizontal="left"/>
    </xf>
    <xf numFmtId="0" fontId="29" fillId="0" borderId="11" xfId="102" applyFont="1" applyFill="1" applyBorder="1" applyAlignment="1" applyProtection="1">
      <alignment horizontal="left"/>
    </xf>
    <xf numFmtId="0" fontId="9" fillId="0" borderId="62" xfId="102" applyFont="1" applyFill="1" applyBorder="1" applyAlignment="1">
      <alignment horizontal="justify" vertical="center" wrapText="1"/>
    </xf>
    <xf numFmtId="0" fontId="18" fillId="0" borderId="25" xfId="102" applyFont="1" applyFill="1" applyBorder="1" applyAlignment="1" applyProtection="1">
      <alignment horizontal="center" vertical="center" wrapText="1"/>
    </xf>
    <xf numFmtId="0" fontId="18" fillId="0" borderId="35" xfId="102" applyFont="1" applyFill="1" applyBorder="1" applyAlignment="1" applyProtection="1">
      <alignment horizontal="center" vertical="center" wrapText="1"/>
    </xf>
    <xf numFmtId="168" fontId="20" fillId="0" borderId="0" xfId="103" applyNumberFormat="1" applyFont="1" applyFill="1" applyAlignment="1">
      <alignment horizontal="center" vertical="center" textRotation="180" wrapText="1"/>
    </xf>
    <xf numFmtId="168" fontId="18" fillId="0" borderId="37" xfId="103" applyNumberFormat="1" applyFont="1" applyFill="1" applyBorder="1" applyAlignment="1">
      <alignment horizontal="center" vertical="center" wrapText="1"/>
    </xf>
    <xf numFmtId="168" fontId="18" fillId="0" borderId="65" xfId="103" applyNumberFormat="1" applyFont="1" applyFill="1" applyBorder="1" applyAlignment="1">
      <alignment horizontal="center" vertical="center" wrapText="1"/>
    </xf>
    <xf numFmtId="168" fontId="18" fillId="0" borderId="56" xfId="103" applyNumberFormat="1" applyFont="1" applyFill="1" applyBorder="1" applyAlignment="1">
      <alignment horizontal="center" vertical="center" wrapText="1"/>
    </xf>
    <xf numFmtId="168" fontId="18" fillId="0" borderId="54" xfId="103" applyNumberFormat="1" applyFont="1" applyFill="1" applyBorder="1" applyAlignment="1">
      <alignment horizontal="center" vertical="center" wrapText="1"/>
    </xf>
    <xf numFmtId="168" fontId="18" fillId="0" borderId="56" xfId="103" applyNumberFormat="1" applyFont="1" applyFill="1" applyBorder="1" applyAlignment="1">
      <alignment horizontal="center" vertical="center"/>
    </xf>
    <xf numFmtId="168" fontId="18" fillId="0" borderId="54" xfId="103" applyNumberFormat="1" applyFont="1" applyFill="1" applyBorder="1" applyAlignment="1">
      <alignment horizontal="center" vertical="center"/>
    </xf>
    <xf numFmtId="168" fontId="18" fillId="0" borderId="85" xfId="103" applyNumberFormat="1" applyFont="1" applyFill="1" applyBorder="1" applyAlignment="1">
      <alignment horizontal="center" vertical="center" wrapText="1"/>
    </xf>
    <xf numFmtId="168" fontId="18" fillId="0" borderId="53" xfId="103" applyNumberFormat="1" applyFont="1" applyFill="1" applyBorder="1" applyAlignment="1">
      <alignment horizontal="center" vertical="center" wrapText="1"/>
    </xf>
    <xf numFmtId="168" fontId="18" fillId="0" borderId="74" xfId="103" applyNumberFormat="1" applyFont="1" applyFill="1" applyBorder="1" applyAlignment="1">
      <alignment horizontal="center" vertical="center" wrapText="1"/>
    </xf>
    <xf numFmtId="168" fontId="18" fillId="0" borderId="69" xfId="103" applyNumberFormat="1" applyFont="1" applyFill="1" applyBorder="1" applyAlignment="1">
      <alignment horizontal="center" vertical="center" wrapText="1"/>
    </xf>
    <xf numFmtId="168" fontId="79" fillId="0" borderId="27" xfId="103" applyNumberFormat="1" applyFont="1" applyFill="1" applyBorder="1" applyAlignment="1">
      <alignment horizontal="center" vertical="center" wrapText="1"/>
    </xf>
    <xf numFmtId="0" fontId="8" fillId="0" borderId="0" xfId="107" applyNumberFormat="1" applyFont="1" applyFill="1" applyAlignment="1" applyProtection="1">
      <alignment horizontal="center" vertical="center" textRotation="180" wrapText="1"/>
      <protection locked="0"/>
    </xf>
  </cellXfs>
  <cellStyles count="132">
    <cellStyle name="1. jelölőszín" xfId="1"/>
    <cellStyle name="1. jelölőszín 2" xfId="2"/>
    <cellStyle name="2. jelölőszín" xfId="3"/>
    <cellStyle name="2. jelölőszín 2" xfId="4"/>
    <cellStyle name="20% - 1. jelölőszín" xfId="5" builtinId="30" customBuiltin="1"/>
    <cellStyle name="20% - 2. jelölőszín" xfId="6" builtinId="34" customBuiltin="1"/>
    <cellStyle name="20% - 3. jelölőszín" xfId="7" builtinId="38" customBuiltin="1"/>
    <cellStyle name="20% - 4. jelölőszín" xfId="8" builtinId="42" customBuiltin="1"/>
    <cellStyle name="20% - 5. jelölőszín" xfId="9" builtinId="46" customBuiltin="1"/>
    <cellStyle name="20% - 6. jelölőszín" xfId="10" builtinId="50" customBuiltin="1"/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3. jelölőszín" xfId="17"/>
    <cellStyle name="3. jelölőszín 2" xfId="18"/>
    <cellStyle name="4. jelölőszín" xfId="19"/>
    <cellStyle name="4. jelölőszín 2" xfId="20"/>
    <cellStyle name="40% - 1. jelölőszín" xfId="21" builtinId="31" customBuiltin="1"/>
    <cellStyle name="40% - 2. jelölőszín" xfId="22" builtinId="35" customBuiltin="1"/>
    <cellStyle name="40% - 3. jelölőszín" xfId="23" builtinId="39" customBuiltin="1"/>
    <cellStyle name="40% - 4. jelölőszín" xfId="24" builtinId="43" customBuiltin="1"/>
    <cellStyle name="40% - 5. jelölőszín" xfId="25" builtinId="47" customBuiltin="1"/>
    <cellStyle name="40% - 6. jelölőszín" xfId="26" builtinId="51" customBuiltin="1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5. jelölőszín" xfId="33"/>
    <cellStyle name="5. jelölőszín 2" xfId="34"/>
    <cellStyle name="6. jelölőszín" xfId="35"/>
    <cellStyle name="6. jelölőszín 2" xfId="36"/>
    <cellStyle name="60% - 1. jelölőszín" xfId="37" builtinId="32" customBuiltin="1"/>
    <cellStyle name="60% - 2. jelölőszín" xfId="38" builtinId="36" customBuiltin="1"/>
    <cellStyle name="60% - 3. jelölőszín" xfId="39" builtinId="40" customBuiltin="1"/>
    <cellStyle name="60% - 4. jelölőszín" xfId="40" builtinId="44" customBuiltin="1"/>
    <cellStyle name="60% - 5. jelölőszín" xfId="41" builtinId="48" customBuiltin="1"/>
    <cellStyle name="60% - 6. jelölőszín" xfId="42" builtinId="52" customBuiltin="1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Bevitel" xfId="56" builtinId="20" customBuiltin="1"/>
    <cellStyle name="Calculation" xfId="57"/>
    <cellStyle name="Check Cell" xfId="58"/>
    <cellStyle name="Cím" xfId="59" builtinId="15" customBuiltin="1"/>
    <cellStyle name="Címsor 1" xfId="60" builtinId="16" customBuiltin="1"/>
    <cellStyle name="Címsor 2" xfId="61" builtinId="17" customBuiltin="1"/>
    <cellStyle name="Címsor 3" xfId="62" builtinId="18" customBuiltin="1"/>
    <cellStyle name="Címsor 4" xfId="63" builtinId="19" customBuiltin="1"/>
    <cellStyle name="Ellenőrzőcella" xfId="64" builtinId="23" customBuiltin="1"/>
    <cellStyle name="Explanatory Text" xfId="65"/>
    <cellStyle name="Ezres" xfId="66" builtinId="3"/>
    <cellStyle name="Ezres 2" xfId="67"/>
    <cellStyle name="Ezres 2 2" xfId="68"/>
    <cellStyle name="Ezres 2 3" xfId="124"/>
    <cellStyle name="Ezres 3" xfId="69"/>
    <cellStyle name="Ezres 3 2" xfId="70"/>
    <cellStyle name="Ezres 3 3" xfId="125"/>
    <cellStyle name="Ezres 4" xfId="71"/>
    <cellStyle name="Ezres 4 2" xfId="118"/>
    <cellStyle name="Ezres 4 2 2" xfId="119"/>
    <cellStyle name="Figyelmeztetés" xfId="72" builtinId="11" customBuiltin="1"/>
    <cellStyle name="Good" xfId="73"/>
    <cellStyle name="Heading 1" xfId="74"/>
    <cellStyle name="Heading 2" xfId="75"/>
    <cellStyle name="Heading 3" xfId="76"/>
    <cellStyle name="Heading 4" xfId="77"/>
    <cellStyle name="hetmál kút" xfId="78"/>
    <cellStyle name="Hiperhivatkozás" xfId="120"/>
    <cellStyle name="Hivatkozott cella" xfId="79" builtinId="24" customBuiltin="1"/>
    <cellStyle name="Input" xfId="80"/>
    <cellStyle name="Jegyzet" xfId="81" builtinId="10" customBuiltin="1"/>
    <cellStyle name="Jelölőszín (1)" xfId="82" builtinId="29" customBuiltin="1"/>
    <cellStyle name="Jelölőszín (1) 2" xfId="83"/>
    <cellStyle name="Jelölőszín (2)" xfId="84" builtinId="33" customBuiltin="1"/>
    <cellStyle name="Jelölőszín (2) 2" xfId="85"/>
    <cellStyle name="Jelölőszín (3)" xfId="86" builtinId="37" customBuiltin="1"/>
    <cellStyle name="Jelölőszín (3) 2" xfId="87"/>
    <cellStyle name="Jelölőszín (4)" xfId="88" builtinId="41" customBuiltin="1"/>
    <cellStyle name="Jelölőszín (4) 2" xfId="89"/>
    <cellStyle name="Jelölőszín (5)" xfId="90" builtinId="45" customBuiltin="1"/>
    <cellStyle name="Jelölőszín (5) 2" xfId="91"/>
    <cellStyle name="Jelölőszín (6)" xfId="92" builtinId="49" customBuiltin="1"/>
    <cellStyle name="Jelölőszín (6) 2" xfId="93"/>
    <cellStyle name="Jó" xfId="94" builtinId="26" customBuiltin="1"/>
    <cellStyle name="Kimenet" xfId="95" builtinId="21" customBuiltin="1"/>
    <cellStyle name="Linked Cell" xfId="96"/>
    <cellStyle name="Magyarázó szöveg" xfId="97" builtinId="53" customBuiltin="1"/>
    <cellStyle name="Már látott hiperhivatkozás" xfId="121"/>
    <cellStyle name="Neutral" xfId="98"/>
    <cellStyle name="Normál" xfId="0" builtinId="0"/>
    <cellStyle name="Normál 2" xfId="99"/>
    <cellStyle name="Normál 2 2" xfId="126"/>
    <cellStyle name="Normál 3" xfId="117"/>
    <cellStyle name="Normál 3 2" xfId="122"/>
    <cellStyle name="Normál 3 2 2" xfId="123"/>
    <cellStyle name="Normál 4" xfId="128"/>
    <cellStyle name="Normál 5" xfId="129"/>
    <cellStyle name="Normál 6" xfId="131"/>
    <cellStyle name="Normál_4_2014. önk.rendelet-2014. évi költségvetési rendelet melléklet" xfId="100"/>
    <cellStyle name="Normal_KARSZJ3" xfId="101"/>
    <cellStyle name="Normál_KVRENMUNKA" xfId="102"/>
    <cellStyle name="Normál_MINTA" xfId="103"/>
    <cellStyle name="Normál_VAGYONK" xfId="104"/>
    <cellStyle name="Normál_VAGYONKIM" xfId="105"/>
    <cellStyle name="Normál_ZARSZREND12" xfId="106"/>
    <cellStyle name="Normál_ZARSZREND14" xfId="107"/>
    <cellStyle name="Note" xfId="108"/>
    <cellStyle name="Output" xfId="109"/>
    <cellStyle name="Összesen" xfId="110" builtinId="25" customBuiltin="1"/>
    <cellStyle name="Rossz" xfId="111" builtinId="27" customBuiltin="1"/>
    <cellStyle name="Semleges" xfId="112" builtinId="28" customBuiltin="1"/>
    <cellStyle name="Számítás" xfId="113" builtinId="22" customBuiltin="1"/>
    <cellStyle name="Százalék 2" xfId="127"/>
    <cellStyle name="Százalék 3" xfId="130"/>
    <cellStyle name="Title" xfId="114"/>
    <cellStyle name="Total" xfId="115"/>
    <cellStyle name="Warning Text" xfId="116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6"/>
  </sheetPr>
  <dimension ref="A1:I163"/>
  <sheetViews>
    <sheetView topLeftCell="A136" zoomScale="130" zoomScaleNormal="130" zoomScaleSheetLayoutView="100" workbookViewId="0">
      <selection activeCell="C143" sqref="C143"/>
    </sheetView>
  </sheetViews>
  <sheetFormatPr defaultColWidth="8" defaultRowHeight="15.75" x14ac:dyDescent="0.25"/>
  <cols>
    <col min="1" max="1" width="8.140625" style="93" customWidth="1"/>
    <col min="2" max="2" width="52.140625" style="93" customWidth="1"/>
    <col min="3" max="5" width="13.5703125" style="91" customWidth="1"/>
    <col min="6" max="8" width="13.28515625" style="25" hidden="1" customWidth="1"/>
    <col min="9" max="16384" width="8" style="25"/>
  </cols>
  <sheetData>
    <row r="1" spans="1:8" ht="15.95" customHeight="1" x14ac:dyDescent="0.25">
      <c r="A1" s="1149" t="s">
        <v>308</v>
      </c>
      <c r="B1" s="1149"/>
      <c r="C1" s="1149"/>
      <c r="D1" s="1149"/>
      <c r="E1" s="1149"/>
    </row>
    <row r="2" spans="1:8" ht="15.95" customHeight="1" thickBot="1" x14ac:dyDescent="0.3">
      <c r="A2" s="26" t="s">
        <v>309</v>
      </c>
      <c r="B2" s="26"/>
      <c r="C2" s="27"/>
      <c r="D2" s="27"/>
      <c r="E2" s="27" t="s">
        <v>458</v>
      </c>
    </row>
    <row r="3" spans="1:8" ht="15.95" customHeight="1" x14ac:dyDescent="0.25">
      <c r="A3" s="1150" t="s">
        <v>394</v>
      </c>
      <c r="B3" s="1152" t="s">
        <v>311</v>
      </c>
      <c r="C3" s="1154" t="s">
        <v>793</v>
      </c>
      <c r="D3" s="1154"/>
      <c r="E3" s="1155"/>
    </row>
    <row r="4" spans="1:8" ht="38.1" customHeight="1" thickBot="1" x14ac:dyDescent="0.3">
      <c r="A4" s="1151"/>
      <c r="B4" s="1153"/>
      <c r="C4" s="28" t="s">
        <v>444</v>
      </c>
      <c r="D4" s="28" t="s">
        <v>445</v>
      </c>
      <c r="E4" s="29" t="s">
        <v>221</v>
      </c>
      <c r="F4" s="93"/>
      <c r="G4" s="93"/>
      <c r="H4" s="93"/>
    </row>
    <row r="5" spans="1:8" s="31" customFormat="1" ht="12" customHeight="1" thickBot="1" x14ac:dyDescent="0.25">
      <c r="A5" s="1" t="s">
        <v>446</v>
      </c>
      <c r="B5" s="2" t="s">
        <v>447</v>
      </c>
      <c r="C5" s="2" t="s">
        <v>448</v>
      </c>
      <c r="D5" s="2" t="s">
        <v>449</v>
      </c>
      <c r="E5" s="30" t="s">
        <v>450</v>
      </c>
    </row>
    <row r="6" spans="1:8" s="34" customFormat="1" ht="12" customHeight="1" thickBot="1" x14ac:dyDescent="0.25">
      <c r="A6" s="3" t="s">
        <v>228</v>
      </c>
      <c r="B6" s="701" t="s">
        <v>451</v>
      </c>
      <c r="C6" s="725">
        <v>1317581468</v>
      </c>
      <c r="D6" s="698">
        <v>1170233686</v>
      </c>
      <c r="E6" s="698">
        <f>SUM(E7:E12)</f>
        <v>1170233686</v>
      </c>
    </row>
    <row r="7" spans="1:8" s="34" customFormat="1" ht="12" customHeight="1" x14ac:dyDescent="0.2">
      <c r="A7" s="13" t="s">
        <v>330</v>
      </c>
      <c r="B7" s="664" t="s">
        <v>453</v>
      </c>
      <c r="C7" s="665">
        <v>227855923</v>
      </c>
      <c r="D7" s="73">
        <v>228389971</v>
      </c>
      <c r="E7" s="220">
        <v>228389971</v>
      </c>
    </row>
    <row r="8" spans="1:8" s="34" customFormat="1" ht="12" customHeight="1" x14ac:dyDescent="0.2">
      <c r="A8" s="8" t="s">
        <v>332</v>
      </c>
      <c r="B8" s="38" t="s">
        <v>454</v>
      </c>
      <c r="C8" s="663">
        <v>224734134</v>
      </c>
      <c r="D8" s="39">
        <v>227307468</v>
      </c>
      <c r="E8" s="221">
        <v>227307468</v>
      </c>
    </row>
    <row r="9" spans="1:8" s="34" customFormat="1" ht="12" customHeight="1" x14ac:dyDescent="0.2">
      <c r="A9" s="8" t="s">
        <v>333</v>
      </c>
      <c r="B9" s="38" t="s">
        <v>455</v>
      </c>
      <c r="C9" s="663">
        <v>565964345</v>
      </c>
      <c r="D9" s="39">
        <v>660574907</v>
      </c>
      <c r="E9" s="221">
        <v>660574907</v>
      </c>
    </row>
    <row r="10" spans="1:8" s="34" customFormat="1" ht="12" customHeight="1" x14ac:dyDescent="0.2">
      <c r="A10" s="8" t="s">
        <v>335</v>
      </c>
      <c r="B10" s="38" t="s">
        <v>456</v>
      </c>
      <c r="C10" s="663">
        <v>28744040</v>
      </c>
      <c r="D10" s="39">
        <v>34596226</v>
      </c>
      <c r="E10" s="221">
        <v>34596226</v>
      </c>
    </row>
    <row r="11" spans="1:8" s="34" customFormat="1" ht="12" customHeight="1" x14ac:dyDescent="0.2">
      <c r="A11" s="8" t="s">
        <v>457</v>
      </c>
      <c r="B11" s="38" t="s">
        <v>492</v>
      </c>
      <c r="C11" s="663"/>
      <c r="D11" s="39"/>
      <c r="E11" s="221"/>
    </row>
    <row r="12" spans="1:8" s="34" customFormat="1" ht="12" customHeight="1" thickBot="1" x14ac:dyDescent="0.25">
      <c r="A12" s="15" t="s">
        <v>337</v>
      </c>
      <c r="B12" s="667" t="s">
        <v>459</v>
      </c>
      <c r="C12" s="700">
        <v>270283026</v>
      </c>
      <c r="D12" s="76">
        <v>19365114</v>
      </c>
      <c r="E12" s="225">
        <v>19365114</v>
      </c>
    </row>
    <row r="13" spans="1:8" s="34" customFormat="1" ht="26.25" customHeight="1" thickBot="1" x14ac:dyDescent="0.25">
      <c r="A13" s="4" t="s">
        <v>234</v>
      </c>
      <c r="B13" s="699" t="s">
        <v>460</v>
      </c>
      <c r="C13" s="725">
        <v>180965882</v>
      </c>
      <c r="D13" s="698">
        <v>279095571</v>
      </c>
      <c r="E13" s="698">
        <f>SUM(E14:E18)</f>
        <v>215496398</v>
      </c>
    </row>
    <row r="14" spans="1:8" s="34" customFormat="1" ht="12" customHeight="1" x14ac:dyDescent="0.2">
      <c r="A14" s="10" t="s">
        <v>344</v>
      </c>
      <c r="B14" s="35" t="s">
        <v>461</v>
      </c>
      <c r="C14" s="702"/>
      <c r="D14" s="73">
        <v>0</v>
      </c>
      <c r="E14" s="37"/>
    </row>
    <row r="15" spans="1:8" s="34" customFormat="1" ht="12" customHeight="1" x14ac:dyDescent="0.2">
      <c r="A15" s="8" t="s">
        <v>345</v>
      </c>
      <c r="B15" s="38" t="s">
        <v>462</v>
      </c>
      <c r="C15" s="703"/>
      <c r="D15" s="39">
        <v>0</v>
      </c>
      <c r="E15" s="40"/>
    </row>
    <row r="16" spans="1:8" s="34" customFormat="1" ht="12" customHeight="1" x14ac:dyDescent="0.2">
      <c r="A16" s="8" t="s">
        <v>346</v>
      </c>
      <c r="B16" s="38" t="s">
        <v>463</v>
      </c>
      <c r="C16" s="703"/>
      <c r="D16" s="39">
        <v>0</v>
      </c>
      <c r="E16" s="40"/>
    </row>
    <row r="17" spans="1:5" s="34" customFormat="1" ht="12" customHeight="1" x14ac:dyDescent="0.2">
      <c r="A17" s="8" t="s">
        <v>347</v>
      </c>
      <c r="B17" s="38" t="s">
        <v>464</v>
      </c>
      <c r="C17" s="703"/>
      <c r="D17" s="39">
        <v>0</v>
      </c>
      <c r="E17" s="40"/>
    </row>
    <row r="18" spans="1:5" s="34" customFormat="1" ht="12" customHeight="1" x14ac:dyDescent="0.2">
      <c r="A18" s="8" t="s">
        <v>348</v>
      </c>
      <c r="B18" s="38" t="s">
        <v>465</v>
      </c>
      <c r="C18" s="703">
        <v>180965882</v>
      </c>
      <c r="D18" s="39">
        <v>279095571</v>
      </c>
      <c r="E18" s="40">
        <v>215496398</v>
      </c>
    </row>
    <row r="19" spans="1:5" s="34" customFormat="1" ht="12" customHeight="1" thickBot="1" x14ac:dyDescent="0.25">
      <c r="A19" s="12" t="s">
        <v>349</v>
      </c>
      <c r="B19" s="41" t="s">
        <v>466</v>
      </c>
      <c r="C19" s="704">
        <v>399535</v>
      </c>
      <c r="D19" s="76">
        <v>85930791</v>
      </c>
      <c r="E19" s="43">
        <v>27120913</v>
      </c>
    </row>
    <row r="20" spans="1:5" s="34" customFormat="1" ht="25.5" customHeight="1" thickBot="1" x14ac:dyDescent="0.25">
      <c r="A20" s="4" t="s">
        <v>235</v>
      </c>
      <c r="B20" s="5" t="s">
        <v>467</v>
      </c>
      <c r="C20" s="722">
        <v>13442271</v>
      </c>
      <c r="D20" s="32">
        <v>82911198</v>
      </c>
      <c r="E20" s="33">
        <f>SUM(E21:E25)</f>
        <v>27196638</v>
      </c>
    </row>
    <row r="21" spans="1:5" s="34" customFormat="1" ht="12" customHeight="1" x14ac:dyDescent="0.2">
      <c r="A21" s="10" t="s">
        <v>312</v>
      </c>
      <c r="B21" s="35" t="s">
        <v>468</v>
      </c>
      <c r="C21" s="702"/>
      <c r="D21" s="73">
        <v>19753000</v>
      </c>
      <c r="E21" s="37">
        <v>19753000</v>
      </c>
    </row>
    <row r="22" spans="1:5" s="34" customFormat="1" ht="12" customHeight="1" x14ac:dyDescent="0.2">
      <c r="A22" s="8" t="s">
        <v>313</v>
      </c>
      <c r="B22" s="38" t="s">
        <v>469</v>
      </c>
      <c r="C22" s="703"/>
      <c r="D22" s="39">
        <v>0</v>
      </c>
      <c r="E22" s="40"/>
    </row>
    <row r="23" spans="1:5" s="34" customFormat="1" ht="12" customHeight="1" x14ac:dyDescent="0.2">
      <c r="A23" s="8" t="s">
        <v>315</v>
      </c>
      <c r="B23" s="38" t="s">
        <v>470</v>
      </c>
      <c r="C23" s="703"/>
      <c r="D23" s="39">
        <v>0</v>
      </c>
      <c r="E23" s="40"/>
    </row>
    <row r="24" spans="1:5" s="34" customFormat="1" ht="12" customHeight="1" x14ac:dyDescent="0.2">
      <c r="A24" s="8" t="s">
        <v>316</v>
      </c>
      <c r="B24" s="38" t="s">
        <v>471</v>
      </c>
      <c r="C24" s="703"/>
      <c r="D24" s="39">
        <v>0</v>
      </c>
      <c r="E24" s="40"/>
    </row>
    <row r="25" spans="1:5" s="34" customFormat="1" ht="12" customHeight="1" x14ac:dyDescent="0.2">
      <c r="A25" s="8" t="s">
        <v>425</v>
      </c>
      <c r="B25" s="38" t="s">
        <v>472</v>
      </c>
      <c r="C25" s="703">
        <v>13442271</v>
      </c>
      <c r="D25" s="39">
        <v>63158198</v>
      </c>
      <c r="E25" s="40">
        <v>7443638</v>
      </c>
    </row>
    <row r="26" spans="1:5" s="34" customFormat="1" ht="12" customHeight="1" thickBot="1" x14ac:dyDescent="0.25">
      <c r="A26" s="12" t="s">
        <v>426</v>
      </c>
      <c r="B26" s="45" t="s">
        <v>473</v>
      </c>
      <c r="C26" s="704">
        <v>13442271</v>
      </c>
      <c r="D26" s="76">
        <v>58668454</v>
      </c>
      <c r="E26" s="43">
        <v>3104638</v>
      </c>
    </row>
    <row r="27" spans="1:5" s="34" customFormat="1" ht="12" customHeight="1" thickBot="1" x14ac:dyDescent="0.25">
      <c r="A27" s="4" t="s">
        <v>427</v>
      </c>
      <c r="B27" s="5" t="s">
        <v>474</v>
      </c>
      <c r="C27" s="722">
        <v>352658000</v>
      </c>
      <c r="D27" s="227">
        <v>402108000</v>
      </c>
      <c r="E27" s="227">
        <f>E28+E32+E33+E34+E31</f>
        <v>401728642</v>
      </c>
    </row>
    <row r="28" spans="1:5" s="34" customFormat="1" ht="12" customHeight="1" x14ac:dyDescent="0.2">
      <c r="A28" s="10" t="s">
        <v>317</v>
      </c>
      <c r="B28" s="35" t="s">
        <v>776</v>
      </c>
      <c r="C28" s="702">
        <f>SUM(C29:C30)</f>
        <v>308654000</v>
      </c>
      <c r="D28" s="702">
        <f t="shared" ref="D28:E28" si="0">SUM(D29:D30)</f>
        <v>361554000</v>
      </c>
      <c r="E28" s="702">
        <f t="shared" si="0"/>
        <v>361268804</v>
      </c>
    </row>
    <row r="29" spans="1:5" s="34" customFormat="1" ht="12" customHeight="1" x14ac:dyDescent="0.2">
      <c r="A29" s="8" t="s">
        <v>475</v>
      </c>
      <c r="B29" s="38" t="s">
        <v>476</v>
      </c>
      <c r="C29" s="703">
        <v>77500000</v>
      </c>
      <c r="D29" s="39">
        <v>76900000</v>
      </c>
      <c r="E29" s="40">
        <f>70828692+5830974</f>
        <v>76659666</v>
      </c>
    </row>
    <row r="30" spans="1:5" s="34" customFormat="1" ht="12" customHeight="1" x14ac:dyDescent="0.2">
      <c r="A30" s="8" t="s">
        <v>477</v>
      </c>
      <c r="B30" s="719" t="s">
        <v>840</v>
      </c>
      <c r="C30" s="703">
        <v>231154000</v>
      </c>
      <c r="D30" s="39">
        <v>284654000</v>
      </c>
      <c r="E30" s="40">
        <v>284609138</v>
      </c>
    </row>
    <row r="31" spans="1:5" s="34" customFormat="1" ht="12" customHeight="1" x14ac:dyDescent="0.2">
      <c r="A31" s="8" t="s">
        <v>758</v>
      </c>
      <c r="B31" s="38" t="s">
        <v>189</v>
      </c>
      <c r="C31" s="703"/>
      <c r="D31" s="39">
        <v>0</v>
      </c>
      <c r="E31" s="40">
        <v>67510</v>
      </c>
    </row>
    <row r="32" spans="1:5" s="34" customFormat="1" ht="12" customHeight="1" x14ac:dyDescent="0.2">
      <c r="A32" s="8" t="s">
        <v>759</v>
      </c>
      <c r="B32" s="38" t="s">
        <v>480</v>
      </c>
      <c r="C32" s="703">
        <v>28000000</v>
      </c>
      <c r="D32" s="39">
        <v>30050000</v>
      </c>
      <c r="E32" s="40">
        <v>30048092</v>
      </c>
    </row>
    <row r="33" spans="1:5" s="34" customFormat="1" ht="12" customHeight="1" x14ac:dyDescent="0.2">
      <c r="A33" s="8" t="s">
        <v>760</v>
      </c>
      <c r="B33" s="38" t="s">
        <v>482</v>
      </c>
      <c r="C33" s="703">
        <v>4504000</v>
      </c>
      <c r="D33" s="39">
        <v>4000</v>
      </c>
      <c r="E33" s="40"/>
    </row>
    <row r="34" spans="1:5" s="34" customFormat="1" ht="12" customHeight="1" thickBot="1" x14ac:dyDescent="0.25">
      <c r="A34" s="12" t="s">
        <v>761</v>
      </c>
      <c r="B34" s="38" t="s">
        <v>483</v>
      </c>
      <c r="C34" s="704">
        <v>11500000</v>
      </c>
      <c r="D34" s="76">
        <v>10500000</v>
      </c>
      <c r="E34" s="43">
        <v>10344236</v>
      </c>
    </row>
    <row r="35" spans="1:5" s="34" customFormat="1" ht="12" customHeight="1" thickBot="1" x14ac:dyDescent="0.25">
      <c r="A35" s="4" t="s">
        <v>237</v>
      </c>
      <c r="B35" s="5" t="s">
        <v>484</v>
      </c>
      <c r="C35" s="722">
        <v>431324867</v>
      </c>
      <c r="D35" s="227">
        <v>405741309</v>
      </c>
      <c r="E35" s="227">
        <f>SUM(E36:E46)</f>
        <v>393429144</v>
      </c>
    </row>
    <row r="36" spans="1:5" s="34" customFormat="1" ht="12" customHeight="1" x14ac:dyDescent="0.2">
      <c r="A36" s="10" t="s">
        <v>319</v>
      </c>
      <c r="B36" s="35" t="s">
        <v>485</v>
      </c>
      <c r="C36" s="702">
        <v>12179000</v>
      </c>
      <c r="D36" s="73">
        <v>13289065</v>
      </c>
      <c r="E36" s="37">
        <v>13719843</v>
      </c>
    </row>
    <row r="37" spans="1:5" s="34" customFormat="1" ht="12" customHeight="1" x14ac:dyDescent="0.2">
      <c r="A37" s="8" t="s">
        <v>320</v>
      </c>
      <c r="B37" s="38" t="s">
        <v>496</v>
      </c>
      <c r="C37" s="703">
        <v>72301925</v>
      </c>
      <c r="D37" s="39">
        <v>77743172</v>
      </c>
      <c r="E37" s="40">
        <v>75708415</v>
      </c>
    </row>
    <row r="38" spans="1:5" s="34" customFormat="1" ht="12" customHeight="1" x14ac:dyDescent="0.2">
      <c r="A38" s="8" t="s">
        <v>321</v>
      </c>
      <c r="B38" s="38" t="s">
        <v>497</v>
      </c>
      <c r="C38" s="703">
        <v>103017000</v>
      </c>
      <c r="D38" s="39">
        <v>75324504</v>
      </c>
      <c r="E38" s="40">
        <v>70681986</v>
      </c>
    </row>
    <row r="39" spans="1:5" s="34" customFormat="1" ht="12" customHeight="1" x14ac:dyDescent="0.2">
      <c r="A39" s="8" t="s">
        <v>428</v>
      </c>
      <c r="B39" s="38" t="s">
        <v>498</v>
      </c>
      <c r="C39" s="703">
        <v>430000</v>
      </c>
      <c r="D39" s="39">
        <v>430000</v>
      </c>
      <c r="E39" s="40">
        <v>671293</v>
      </c>
    </row>
    <row r="40" spans="1:5" s="34" customFormat="1" ht="12" customHeight="1" x14ac:dyDescent="0.2">
      <c r="A40" s="8" t="s">
        <v>429</v>
      </c>
      <c r="B40" s="38" t="s">
        <v>499</v>
      </c>
      <c r="C40" s="703">
        <v>179085653</v>
      </c>
      <c r="D40" s="39">
        <v>172385653</v>
      </c>
      <c r="E40" s="40">
        <v>168360806</v>
      </c>
    </row>
    <row r="41" spans="1:5" s="34" customFormat="1" ht="12" customHeight="1" x14ac:dyDescent="0.2">
      <c r="A41" s="8" t="s">
        <v>430</v>
      </c>
      <c r="B41" s="38" t="s">
        <v>500</v>
      </c>
      <c r="C41" s="703">
        <v>44810289</v>
      </c>
      <c r="D41" s="39">
        <v>37704455</v>
      </c>
      <c r="E41" s="40">
        <v>34776685</v>
      </c>
    </row>
    <row r="42" spans="1:5" s="34" customFormat="1" ht="12" customHeight="1" x14ac:dyDescent="0.2">
      <c r="A42" s="8" t="s">
        <v>431</v>
      </c>
      <c r="B42" s="38" t="s">
        <v>501</v>
      </c>
      <c r="C42" s="703">
        <v>18210000</v>
      </c>
      <c r="D42" s="39">
        <v>18210000</v>
      </c>
      <c r="E42" s="40">
        <v>17251000</v>
      </c>
    </row>
    <row r="43" spans="1:5" s="34" customFormat="1" ht="12" customHeight="1" x14ac:dyDescent="0.2">
      <c r="A43" s="8" t="s">
        <v>432</v>
      </c>
      <c r="B43" s="38" t="s">
        <v>502</v>
      </c>
      <c r="C43" s="703">
        <v>31000</v>
      </c>
      <c r="D43" s="39">
        <v>31000</v>
      </c>
      <c r="E43" s="40">
        <v>603</v>
      </c>
    </row>
    <row r="44" spans="1:5" s="34" customFormat="1" ht="12" customHeight="1" x14ac:dyDescent="0.2">
      <c r="A44" s="8" t="s">
        <v>503</v>
      </c>
      <c r="B44" s="38" t="s">
        <v>504</v>
      </c>
      <c r="C44" s="703"/>
      <c r="D44" s="49">
        <v>0</v>
      </c>
      <c r="E44" s="50"/>
    </row>
    <row r="45" spans="1:5" s="34" customFormat="1" ht="12" customHeight="1" x14ac:dyDescent="0.2">
      <c r="A45" s="12" t="s">
        <v>505</v>
      </c>
      <c r="B45" s="41" t="s">
        <v>285</v>
      </c>
      <c r="C45" s="703">
        <v>500000</v>
      </c>
      <c r="D45" s="51">
        <v>200000</v>
      </c>
      <c r="E45" s="52">
        <v>194740</v>
      </c>
    </row>
    <row r="46" spans="1:5" s="34" customFormat="1" ht="12" customHeight="1" thickBot="1" x14ac:dyDescent="0.25">
      <c r="A46" s="12" t="s">
        <v>284</v>
      </c>
      <c r="B46" s="41" t="s">
        <v>506</v>
      </c>
      <c r="C46" s="704">
        <v>760000</v>
      </c>
      <c r="D46" s="705">
        <v>10423460</v>
      </c>
      <c r="E46" s="52">
        <v>12063773</v>
      </c>
    </row>
    <row r="47" spans="1:5" s="34" customFormat="1" ht="12" customHeight="1" thickBot="1" x14ac:dyDescent="0.25">
      <c r="A47" s="4" t="s">
        <v>240</v>
      </c>
      <c r="B47" s="5" t="s">
        <v>507</v>
      </c>
      <c r="C47" s="722">
        <v>30332500</v>
      </c>
      <c r="D47" s="227">
        <v>30332500</v>
      </c>
      <c r="E47" s="227">
        <f>SUM(E48:E52)</f>
        <v>9600404</v>
      </c>
    </row>
    <row r="48" spans="1:5" s="34" customFormat="1" ht="12" customHeight="1" x14ac:dyDescent="0.2">
      <c r="A48" s="10" t="s">
        <v>322</v>
      </c>
      <c r="B48" s="35" t="s">
        <v>508</v>
      </c>
      <c r="C48" s="702"/>
      <c r="D48" s="706">
        <v>0</v>
      </c>
      <c r="E48" s="54"/>
    </row>
    <row r="49" spans="1:5" s="34" customFormat="1" ht="12" customHeight="1" x14ac:dyDescent="0.2">
      <c r="A49" s="8" t="s">
        <v>323</v>
      </c>
      <c r="B49" s="38" t="s">
        <v>199</v>
      </c>
      <c r="C49" s="703">
        <v>30332500</v>
      </c>
      <c r="D49" s="49">
        <v>30332500</v>
      </c>
      <c r="E49" s="50">
        <v>9581550</v>
      </c>
    </row>
    <row r="50" spans="1:5" s="34" customFormat="1" ht="12" customHeight="1" x14ac:dyDescent="0.2">
      <c r="A50" s="8" t="s">
        <v>509</v>
      </c>
      <c r="B50" s="38" t="s">
        <v>510</v>
      </c>
      <c r="C50" s="703"/>
      <c r="D50" s="49">
        <v>0</v>
      </c>
      <c r="E50" s="50">
        <v>18854</v>
      </c>
    </row>
    <row r="51" spans="1:5" s="34" customFormat="1" ht="12" customHeight="1" x14ac:dyDescent="0.2">
      <c r="A51" s="8" t="s">
        <v>511</v>
      </c>
      <c r="B51" s="38" t="s">
        <v>512</v>
      </c>
      <c r="C51" s="703"/>
      <c r="D51" s="49">
        <v>0</v>
      </c>
      <c r="E51" s="50"/>
    </row>
    <row r="52" spans="1:5" s="34" customFormat="1" ht="12" customHeight="1" thickBot="1" x14ac:dyDescent="0.25">
      <c r="A52" s="12" t="s">
        <v>513</v>
      </c>
      <c r="B52" s="41" t="s">
        <v>514</v>
      </c>
      <c r="C52" s="704"/>
      <c r="D52" s="705">
        <v>0</v>
      </c>
      <c r="E52" s="52"/>
    </row>
    <row r="53" spans="1:5" s="34" customFormat="1" ht="17.25" customHeight="1" thickBot="1" x14ac:dyDescent="0.25">
      <c r="A53" s="4" t="s">
        <v>433</v>
      </c>
      <c r="B53" s="5" t="s">
        <v>515</v>
      </c>
      <c r="C53" s="722">
        <v>4766000</v>
      </c>
      <c r="D53" s="227">
        <v>4224000</v>
      </c>
      <c r="E53" s="227">
        <f>SUM(E54:E56)</f>
        <v>4421313</v>
      </c>
    </row>
    <row r="54" spans="1:5" s="34" customFormat="1" ht="11.25" customHeight="1" x14ac:dyDescent="0.2">
      <c r="A54" s="10" t="s">
        <v>324</v>
      </c>
      <c r="B54" s="35" t="s">
        <v>516</v>
      </c>
      <c r="C54" s="702"/>
      <c r="D54" s="73">
        <v>0</v>
      </c>
      <c r="E54" s="37"/>
    </row>
    <row r="55" spans="1:5" s="34" customFormat="1" ht="21" customHeight="1" x14ac:dyDescent="0.2">
      <c r="A55" s="8" t="s">
        <v>325</v>
      </c>
      <c r="B55" s="38" t="s">
        <v>517</v>
      </c>
      <c r="C55" s="703">
        <v>1866000</v>
      </c>
      <c r="D55" s="39">
        <v>1866000</v>
      </c>
      <c r="E55" s="40">
        <v>2079965</v>
      </c>
    </row>
    <row r="56" spans="1:5" s="34" customFormat="1" ht="12" customHeight="1" x14ac:dyDescent="0.2">
      <c r="A56" s="8" t="s">
        <v>434</v>
      </c>
      <c r="B56" s="38" t="s">
        <v>518</v>
      </c>
      <c r="C56" s="703">
        <v>2900000</v>
      </c>
      <c r="D56" s="39">
        <v>2358000</v>
      </c>
      <c r="E56" s="40">
        <v>2341348</v>
      </c>
    </row>
    <row r="57" spans="1:5" s="34" customFormat="1" ht="12" customHeight="1" thickBot="1" x14ac:dyDescent="0.25">
      <c r="A57" s="12" t="s">
        <v>519</v>
      </c>
      <c r="B57" s="41" t="s">
        <v>520</v>
      </c>
      <c r="C57" s="704"/>
      <c r="D57" s="76">
        <v>0</v>
      </c>
      <c r="E57" s="43"/>
    </row>
    <row r="58" spans="1:5" s="34" customFormat="1" ht="12" customHeight="1" thickBot="1" x14ac:dyDescent="0.25">
      <c r="A58" s="4" t="s">
        <v>242</v>
      </c>
      <c r="B58" s="44" t="s">
        <v>521</v>
      </c>
      <c r="C58" s="722"/>
      <c r="D58" s="32">
        <v>0</v>
      </c>
      <c r="E58" s="33">
        <f>SUM(E59:E61)</f>
        <v>20000</v>
      </c>
    </row>
    <row r="59" spans="1:5" s="34" customFormat="1" ht="12" customHeight="1" x14ac:dyDescent="0.2">
      <c r="A59" s="10" t="s">
        <v>435</v>
      </c>
      <c r="B59" s="35" t="s">
        <v>522</v>
      </c>
      <c r="C59" s="702"/>
      <c r="D59" s="706">
        <v>0</v>
      </c>
      <c r="E59" s="50"/>
    </row>
    <row r="60" spans="1:5" s="34" customFormat="1" ht="22.5" customHeight="1" x14ac:dyDescent="0.2">
      <c r="A60" s="8" t="s">
        <v>436</v>
      </c>
      <c r="B60" s="38" t="s">
        <v>523</v>
      </c>
      <c r="C60" s="703"/>
      <c r="D60" s="49">
        <v>0</v>
      </c>
      <c r="E60" s="50"/>
    </row>
    <row r="61" spans="1:5" s="34" customFormat="1" ht="12" customHeight="1" x14ac:dyDescent="0.2">
      <c r="A61" s="8" t="s">
        <v>524</v>
      </c>
      <c r="B61" s="38" t="s">
        <v>525</v>
      </c>
      <c r="C61" s="703"/>
      <c r="D61" s="49">
        <v>0</v>
      </c>
      <c r="E61" s="50">
        <v>20000</v>
      </c>
    </row>
    <row r="62" spans="1:5" s="34" customFormat="1" ht="12" customHeight="1" thickBot="1" x14ac:dyDescent="0.25">
      <c r="A62" s="12" t="s">
        <v>526</v>
      </c>
      <c r="B62" s="41" t="s">
        <v>527</v>
      </c>
      <c r="C62" s="704"/>
      <c r="D62" s="707">
        <v>0</v>
      </c>
      <c r="E62" s="50"/>
    </row>
    <row r="63" spans="1:5" s="34" customFormat="1" ht="12" customHeight="1" thickBot="1" x14ac:dyDescent="0.25">
      <c r="A63" s="4" t="s">
        <v>243</v>
      </c>
      <c r="B63" s="5" t="s">
        <v>528</v>
      </c>
      <c r="C63" s="46">
        <v>2331070988</v>
      </c>
      <c r="D63" s="46">
        <v>2374646264</v>
      </c>
      <c r="E63" s="46">
        <f>E6+E13+E20+E27+E35+E47+E53+E58</f>
        <v>2222126225</v>
      </c>
    </row>
    <row r="64" spans="1:5" s="34" customFormat="1" ht="12" customHeight="1" thickBot="1" x14ac:dyDescent="0.25">
      <c r="A64" s="55" t="s">
        <v>529</v>
      </c>
      <c r="B64" s="44" t="s">
        <v>530</v>
      </c>
      <c r="C64" s="631">
        <v>193478462</v>
      </c>
      <c r="D64" s="631">
        <v>212343590</v>
      </c>
      <c r="E64" s="631">
        <f>SUM(E65:E67)</f>
        <v>63319557</v>
      </c>
    </row>
    <row r="65" spans="1:5" s="34" customFormat="1" ht="12" customHeight="1" x14ac:dyDescent="0.2">
      <c r="A65" s="10" t="s">
        <v>531</v>
      </c>
      <c r="B65" s="35" t="s">
        <v>532</v>
      </c>
      <c r="C65" s="702">
        <v>93478462</v>
      </c>
      <c r="D65" s="706">
        <v>112343590</v>
      </c>
      <c r="E65" s="50">
        <v>63319557</v>
      </c>
    </row>
    <row r="66" spans="1:5" s="34" customFormat="1" ht="12" customHeight="1" x14ac:dyDescent="0.2">
      <c r="A66" s="8" t="s">
        <v>533</v>
      </c>
      <c r="B66" s="38" t="s">
        <v>534</v>
      </c>
      <c r="C66" s="703">
        <v>100000000</v>
      </c>
      <c r="D66" s="49">
        <v>100000000</v>
      </c>
    </row>
    <row r="67" spans="1:5" s="34" customFormat="1" ht="12" customHeight="1" thickBot="1" x14ac:dyDescent="0.25">
      <c r="A67" s="12" t="s">
        <v>535</v>
      </c>
      <c r="B67" s="56" t="s">
        <v>536</v>
      </c>
      <c r="C67" s="704"/>
      <c r="D67" s="705">
        <v>0</v>
      </c>
      <c r="E67" s="50"/>
    </row>
    <row r="68" spans="1:5" s="34" customFormat="1" ht="12" customHeight="1" thickBot="1" x14ac:dyDescent="0.25">
      <c r="A68" s="55" t="s">
        <v>537</v>
      </c>
      <c r="B68" s="44" t="s">
        <v>538</v>
      </c>
      <c r="C68" s="723"/>
      <c r="D68" s="32">
        <v>0</v>
      </c>
      <c r="E68" s="33">
        <f>+E69+E70+E71+E72</f>
        <v>0</v>
      </c>
    </row>
    <row r="69" spans="1:5" s="34" customFormat="1" ht="13.5" customHeight="1" x14ac:dyDescent="0.2">
      <c r="A69" s="10" t="s">
        <v>326</v>
      </c>
      <c r="B69" s="35" t="s">
        <v>539</v>
      </c>
      <c r="C69" s="702"/>
      <c r="D69" s="706">
        <v>0</v>
      </c>
      <c r="E69" s="50"/>
    </row>
    <row r="70" spans="1:5" s="34" customFormat="1" ht="12" customHeight="1" x14ac:dyDescent="0.2">
      <c r="A70" s="8" t="s">
        <v>327</v>
      </c>
      <c r="B70" s="38" t="s">
        <v>540</v>
      </c>
      <c r="C70" s="703"/>
      <c r="D70" s="49">
        <v>0</v>
      </c>
      <c r="E70" s="50"/>
    </row>
    <row r="71" spans="1:5" s="34" customFormat="1" ht="12" customHeight="1" x14ac:dyDescent="0.2">
      <c r="A71" s="8" t="s">
        <v>541</v>
      </c>
      <c r="B71" s="38" t="s">
        <v>542</v>
      </c>
      <c r="C71" s="703"/>
      <c r="D71" s="49">
        <v>0</v>
      </c>
      <c r="E71" s="50"/>
    </row>
    <row r="72" spans="1:5" s="34" customFormat="1" ht="12" customHeight="1" thickBot="1" x14ac:dyDescent="0.25">
      <c r="A72" s="12" t="s">
        <v>543</v>
      </c>
      <c r="B72" s="41" t="s">
        <v>544</v>
      </c>
      <c r="C72" s="704"/>
      <c r="D72" s="705">
        <v>0</v>
      </c>
      <c r="E72" s="50"/>
    </row>
    <row r="73" spans="1:5" s="34" customFormat="1" ht="12" customHeight="1" thickBot="1" x14ac:dyDescent="0.25">
      <c r="A73" s="55" t="s">
        <v>545</v>
      </c>
      <c r="B73" s="44" t="s">
        <v>546</v>
      </c>
      <c r="C73" s="722">
        <v>595229853</v>
      </c>
      <c r="D73" s="227">
        <v>620677200</v>
      </c>
      <c r="E73" s="227">
        <f>SUM(E74:E75)</f>
        <v>620677200</v>
      </c>
    </row>
    <row r="74" spans="1:5" s="34" customFormat="1" ht="12" customHeight="1" x14ac:dyDescent="0.2">
      <c r="A74" s="10" t="s">
        <v>547</v>
      </c>
      <c r="B74" s="35" t="s">
        <v>548</v>
      </c>
      <c r="C74" s="702">
        <v>595229853</v>
      </c>
      <c r="D74" s="706">
        <v>620677200</v>
      </c>
      <c r="E74" s="50">
        <v>620677200</v>
      </c>
    </row>
    <row r="75" spans="1:5" s="34" customFormat="1" ht="12" customHeight="1" thickBot="1" x14ac:dyDescent="0.25">
      <c r="A75" s="12" t="s">
        <v>549</v>
      </c>
      <c r="B75" s="41" t="s">
        <v>556</v>
      </c>
      <c r="C75" s="704"/>
      <c r="D75" s="705">
        <v>0</v>
      </c>
      <c r="E75" s="50"/>
    </row>
    <row r="76" spans="1:5" s="34" customFormat="1" ht="12" customHeight="1" thickBot="1" x14ac:dyDescent="0.25">
      <c r="A76" s="55" t="s">
        <v>557</v>
      </c>
      <c r="B76" s="44" t="s">
        <v>558</v>
      </c>
      <c r="C76" s="708"/>
      <c r="D76" s="698">
        <v>41904332</v>
      </c>
      <c r="E76" s="33">
        <f>+E77+E78+E79</f>
        <v>41904332</v>
      </c>
    </row>
    <row r="77" spans="1:5" s="34" customFormat="1" ht="12" customHeight="1" x14ac:dyDescent="0.2">
      <c r="A77" s="10" t="s">
        <v>559</v>
      </c>
      <c r="B77" s="35" t="s">
        <v>560</v>
      </c>
      <c r="C77" s="702">
        <v>0</v>
      </c>
      <c r="D77" s="706">
        <v>41904332</v>
      </c>
      <c r="E77" s="50">
        <v>41904332</v>
      </c>
    </row>
    <row r="78" spans="1:5" s="34" customFormat="1" ht="12" customHeight="1" x14ac:dyDescent="0.2">
      <c r="A78" s="8" t="s">
        <v>561</v>
      </c>
      <c r="B78" s="38" t="s">
        <v>562</v>
      </c>
      <c r="C78" s="703">
        <v>0</v>
      </c>
      <c r="D78" s="49">
        <v>0</v>
      </c>
      <c r="E78" s="50"/>
    </row>
    <row r="79" spans="1:5" s="34" customFormat="1" ht="12" customHeight="1" thickBot="1" x14ac:dyDescent="0.25">
      <c r="A79" s="12" t="s">
        <v>563</v>
      </c>
      <c r="B79" s="45" t="s">
        <v>564</v>
      </c>
      <c r="C79" s="704">
        <v>0</v>
      </c>
      <c r="D79" s="705">
        <v>0</v>
      </c>
      <c r="E79" s="50"/>
    </row>
    <row r="80" spans="1:5" s="34" customFormat="1" ht="12" customHeight="1" thickBot="1" x14ac:dyDescent="0.25">
      <c r="A80" s="55" t="s">
        <v>565</v>
      </c>
      <c r="B80" s="44" t="s">
        <v>566</v>
      </c>
      <c r="C80" s="721">
        <v>0</v>
      </c>
      <c r="D80" s="32">
        <v>0</v>
      </c>
      <c r="E80" s="33">
        <f>+E81+E82+E83+E84</f>
        <v>0</v>
      </c>
    </row>
    <row r="81" spans="1:8" s="34" customFormat="1" ht="12" customHeight="1" x14ac:dyDescent="0.2">
      <c r="A81" s="57" t="s">
        <v>567</v>
      </c>
      <c r="B81" s="35" t="s">
        <v>568</v>
      </c>
      <c r="C81" s="702">
        <v>0</v>
      </c>
      <c r="D81" s="706">
        <v>0</v>
      </c>
      <c r="E81" s="50"/>
    </row>
    <row r="82" spans="1:8" s="34" customFormat="1" ht="12" customHeight="1" x14ac:dyDescent="0.2">
      <c r="A82" s="58" t="s">
        <v>569</v>
      </c>
      <c r="B82" s="38" t="s">
        <v>573</v>
      </c>
      <c r="C82" s="703">
        <v>0</v>
      </c>
      <c r="D82" s="49">
        <v>0</v>
      </c>
      <c r="E82" s="50"/>
    </row>
    <row r="83" spans="1:8" s="34" customFormat="1" ht="12" customHeight="1" x14ac:dyDescent="0.2">
      <c r="A83" s="58" t="s">
        <v>574</v>
      </c>
      <c r="B83" s="38" t="s">
        <v>575</v>
      </c>
      <c r="C83" s="703">
        <v>0</v>
      </c>
      <c r="D83" s="49">
        <v>0</v>
      </c>
      <c r="E83" s="50"/>
    </row>
    <row r="84" spans="1:8" s="34" customFormat="1" ht="12" customHeight="1" thickBot="1" x14ac:dyDescent="0.25">
      <c r="A84" s="59" t="s">
        <v>576</v>
      </c>
      <c r="B84" s="45" t="s">
        <v>577</v>
      </c>
      <c r="C84" s="663">
        <v>0</v>
      </c>
      <c r="D84" s="49">
        <v>0</v>
      </c>
      <c r="E84" s="50"/>
    </row>
    <row r="85" spans="1:8" s="34" customFormat="1" ht="12" customHeight="1" thickBot="1" x14ac:dyDescent="0.25">
      <c r="A85" s="1003" t="s">
        <v>251</v>
      </c>
      <c r="B85" s="44" t="s">
        <v>579</v>
      </c>
      <c r="C85" s="720">
        <v>0</v>
      </c>
      <c r="D85" s="60">
        <v>0</v>
      </c>
      <c r="E85" s="61"/>
    </row>
    <row r="86" spans="1:8" s="34" customFormat="1" ht="12" customHeight="1" thickBot="1" x14ac:dyDescent="0.25">
      <c r="A86" s="1003" t="s">
        <v>252</v>
      </c>
      <c r="B86" s="62" t="s">
        <v>581</v>
      </c>
      <c r="C86" s="46">
        <v>788708315</v>
      </c>
      <c r="D86" s="46">
        <v>874925122</v>
      </c>
      <c r="E86" s="47">
        <f>+E64+E68+E73+E76+E80+E85</f>
        <v>725901089</v>
      </c>
    </row>
    <row r="87" spans="1:8" s="34" customFormat="1" ht="20.25" customHeight="1" thickBot="1" x14ac:dyDescent="0.25">
      <c r="A87" s="1002" t="s">
        <v>253</v>
      </c>
      <c r="B87" s="63" t="s">
        <v>583</v>
      </c>
      <c r="C87" s="46">
        <f>C86+C63</f>
        <v>3119779303</v>
      </c>
      <c r="D87" s="46">
        <v>3249571386</v>
      </c>
      <c r="E87" s="46">
        <f>E86+E63</f>
        <v>2948027314</v>
      </c>
      <c r="F87" s="34">
        <f>'2.1.sz.mell  '!C29+'2.2.sz.mell  '!C31</f>
        <v>3119779303</v>
      </c>
      <c r="G87" s="34">
        <f>'2.1.sz.mell  '!D29+'2.2.sz.mell  '!D31</f>
        <v>3249571386</v>
      </c>
      <c r="H87" s="34">
        <f>'2.1.sz.mell  '!E29+'2.2.sz.mell  '!E31</f>
        <v>2948027314</v>
      </c>
    </row>
    <row r="88" spans="1:8" s="34" customFormat="1" ht="12" customHeight="1" x14ac:dyDescent="0.2">
      <c r="A88" s="64"/>
      <c r="B88" s="64"/>
      <c r="C88" s="65"/>
      <c r="D88" s="65"/>
      <c r="E88" s="65"/>
    </row>
    <row r="89" spans="1:8" ht="16.5" customHeight="1" x14ac:dyDescent="0.25">
      <c r="A89" s="1149" t="s">
        <v>328</v>
      </c>
      <c r="B89" s="1149"/>
      <c r="C89" s="1149"/>
      <c r="D89" s="1149"/>
      <c r="E89" s="1149"/>
    </row>
    <row r="90" spans="1:8" s="68" customFormat="1" ht="16.5" customHeight="1" thickBot="1" x14ac:dyDescent="0.3">
      <c r="A90" s="66" t="s">
        <v>329</v>
      </c>
      <c r="B90" s="66"/>
      <c r="C90" s="67"/>
      <c r="D90" s="67"/>
      <c r="E90" s="67" t="s">
        <v>458</v>
      </c>
    </row>
    <row r="91" spans="1:8" s="68" customFormat="1" ht="16.5" customHeight="1" x14ac:dyDescent="0.25">
      <c r="A91" s="1150" t="s">
        <v>394</v>
      </c>
      <c r="B91" s="1152" t="s">
        <v>584</v>
      </c>
      <c r="C91" s="589"/>
      <c r="D91" s="591" t="s">
        <v>793</v>
      </c>
      <c r="E91" s="590"/>
    </row>
    <row r="92" spans="1:8" ht="38.1" customHeight="1" thickBot="1" x14ac:dyDescent="0.3">
      <c r="A92" s="1151"/>
      <c r="B92" s="1153"/>
      <c r="C92" s="28" t="s">
        <v>444</v>
      </c>
      <c r="D92" s="28" t="s">
        <v>445</v>
      </c>
      <c r="E92" s="29" t="s">
        <v>221</v>
      </c>
    </row>
    <row r="93" spans="1:8" s="31" customFormat="1" ht="12" customHeight="1" thickBot="1" x14ac:dyDescent="0.25">
      <c r="A93" s="1" t="s">
        <v>446</v>
      </c>
      <c r="B93" s="2" t="s">
        <v>447</v>
      </c>
      <c r="C93" s="2" t="s">
        <v>448</v>
      </c>
      <c r="D93" s="2" t="s">
        <v>449</v>
      </c>
      <c r="E93" s="69" t="s">
        <v>450</v>
      </c>
    </row>
    <row r="94" spans="1:8" ht="12" customHeight="1" thickBot="1" x14ac:dyDescent="0.3">
      <c r="A94" s="3" t="s">
        <v>228</v>
      </c>
      <c r="B94" s="70" t="s">
        <v>633</v>
      </c>
      <c r="C94" s="71">
        <f>SUM(C95:C99)</f>
        <v>2337275200</v>
      </c>
      <c r="D94" s="71">
        <f>SUM(D95:D99)</f>
        <v>2293484923</v>
      </c>
      <c r="E94" s="72">
        <f>SUM(E95:E99)</f>
        <v>2137354184</v>
      </c>
    </row>
    <row r="95" spans="1:8" ht="12" customHeight="1" x14ac:dyDescent="0.25">
      <c r="A95" s="13" t="s">
        <v>330</v>
      </c>
      <c r="B95" s="14" t="s">
        <v>331</v>
      </c>
      <c r="C95" s="73">
        <v>972189321</v>
      </c>
      <c r="D95" s="73">
        <v>973950639</v>
      </c>
      <c r="E95" s="74">
        <v>954601761</v>
      </c>
    </row>
    <row r="96" spans="1:8" ht="12" customHeight="1" x14ac:dyDescent="0.25">
      <c r="A96" s="8" t="s">
        <v>332</v>
      </c>
      <c r="B96" s="9" t="s">
        <v>438</v>
      </c>
      <c r="C96" s="39">
        <v>205103347</v>
      </c>
      <c r="D96" s="39">
        <v>205493807</v>
      </c>
      <c r="E96" s="40">
        <v>198202661</v>
      </c>
    </row>
    <row r="97" spans="1:5" ht="12" customHeight="1" x14ac:dyDescent="0.25">
      <c r="A97" s="8" t="s">
        <v>333</v>
      </c>
      <c r="B97" s="9" t="s">
        <v>334</v>
      </c>
      <c r="C97" s="42">
        <v>914471448</v>
      </c>
      <c r="D97" s="42">
        <v>810844114</v>
      </c>
      <c r="E97" s="43">
        <v>759722479</v>
      </c>
    </row>
    <row r="98" spans="1:5" ht="12" customHeight="1" x14ac:dyDescent="0.25">
      <c r="A98" s="8" t="s">
        <v>335</v>
      </c>
      <c r="B98" s="16" t="s">
        <v>439</v>
      </c>
      <c r="C98" s="42">
        <v>97250000</v>
      </c>
      <c r="D98" s="42">
        <v>139384000</v>
      </c>
      <c r="E98" s="43">
        <v>67052084</v>
      </c>
    </row>
    <row r="99" spans="1:5" ht="12" customHeight="1" x14ac:dyDescent="0.25">
      <c r="A99" s="8" t="s">
        <v>336</v>
      </c>
      <c r="B99" s="17" t="s">
        <v>440</v>
      </c>
      <c r="C99" s="39">
        <f t="shared" ref="C99:D99" si="1">SUM(C100:C111)</f>
        <v>148261084</v>
      </c>
      <c r="D99" s="39">
        <f t="shared" si="1"/>
        <v>163812363</v>
      </c>
      <c r="E99" s="43">
        <f>SUM(E100:E111)</f>
        <v>157775199</v>
      </c>
    </row>
    <row r="100" spans="1:5" ht="12" customHeight="1" x14ac:dyDescent="0.25">
      <c r="A100" s="8" t="s">
        <v>337</v>
      </c>
      <c r="B100" s="9" t="s">
        <v>585</v>
      </c>
      <c r="C100" s="42"/>
      <c r="D100" s="42">
        <v>159000</v>
      </c>
      <c r="E100" s="43"/>
    </row>
    <row r="101" spans="1:5" ht="12" customHeight="1" x14ac:dyDescent="0.25">
      <c r="A101" s="8"/>
      <c r="B101" s="20" t="s">
        <v>286</v>
      </c>
      <c r="C101" s="42"/>
      <c r="D101" s="42"/>
      <c r="E101" s="43"/>
    </row>
    <row r="102" spans="1:5" ht="12" customHeight="1" x14ac:dyDescent="0.25">
      <c r="A102" s="8"/>
      <c r="B102" s="20" t="s">
        <v>586</v>
      </c>
      <c r="C102" s="42"/>
      <c r="D102" s="42"/>
      <c r="E102" s="43"/>
    </row>
    <row r="103" spans="1:5" ht="12" customHeight="1" x14ac:dyDescent="0.25">
      <c r="A103" s="8" t="s">
        <v>338</v>
      </c>
      <c r="B103" s="20" t="s">
        <v>287</v>
      </c>
      <c r="C103" s="42">
        <v>100000</v>
      </c>
      <c r="D103" s="42">
        <v>5258498</v>
      </c>
      <c r="E103" s="43">
        <f>5090844+159000</f>
        <v>5249844</v>
      </c>
    </row>
    <row r="104" spans="1:5" ht="16.5" customHeight="1" x14ac:dyDescent="0.25">
      <c r="A104" s="8" t="s">
        <v>339</v>
      </c>
      <c r="B104" s="21" t="s">
        <v>587</v>
      </c>
      <c r="C104" s="42"/>
      <c r="D104" s="42"/>
      <c r="E104" s="43"/>
    </row>
    <row r="105" spans="1:5" ht="19.5" customHeight="1" x14ac:dyDescent="0.25">
      <c r="A105" s="8" t="s">
        <v>340</v>
      </c>
      <c r="B105" s="21" t="s">
        <v>588</v>
      </c>
      <c r="C105" s="42"/>
      <c r="D105" s="42"/>
      <c r="E105" s="43"/>
    </row>
    <row r="106" spans="1:5" ht="12" customHeight="1" x14ac:dyDescent="0.25">
      <c r="A106" s="8" t="s">
        <v>341</v>
      </c>
      <c r="B106" s="20" t="s">
        <v>589</v>
      </c>
      <c r="C106" s="42"/>
      <c r="D106" s="42">
        <v>660000</v>
      </c>
      <c r="E106" s="43">
        <v>746500</v>
      </c>
    </row>
    <row r="107" spans="1:5" ht="12" customHeight="1" x14ac:dyDescent="0.25">
      <c r="A107" s="8" t="s">
        <v>342</v>
      </c>
      <c r="B107" s="20" t="s">
        <v>590</v>
      </c>
      <c r="C107" s="42"/>
      <c r="D107" s="42"/>
      <c r="E107" s="43"/>
    </row>
    <row r="108" spans="1:5" ht="22.5" x14ac:dyDescent="0.25">
      <c r="A108" s="8" t="s">
        <v>343</v>
      </c>
      <c r="B108" s="21" t="s">
        <v>591</v>
      </c>
      <c r="C108" s="42"/>
      <c r="D108" s="42"/>
      <c r="E108" s="43"/>
    </row>
    <row r="109" spans="1:5" ht="12" customHeight="1" x14ac:dyDescent="0.25">
      <c r="A109" s="6" t="s">
        <v>592</v>
      </c>
      <c r="B109" s="22" t="s">
        <v>593</v>
      </c>
      <c r="C109" s="42"/>
      <c r="D109" s="42"/>
      <c r="E109" s="43"/>
    </row>
    <row r="110" spans="1:5" ht="12" customHeight="1" x14ac:dyDescent="0.25">
      <c r="A110" s="8" t="s">
        <v>594</v>
      </c>
      <c r="B110" s="22" t="s">
        <v>595</v>
      </c>
      <c r="C110" s="42"/>
      <c r="D110" s="42"/>
      <c r="E110" s="43"/>
    </row>
    <row r="111" spans="1:5" ht="18.75" customHeight="1" thickBot="1" x14ac:dyDescent="0.3">
      <c r="A111" s="15" t="s">
        <v>596</v>
      </c>
      <c r="B111" s="75" t="s">
        <v>597</v>
      </c>
      <c r="C111" s="76">
        <v>148161084</v>
      </c>
      <c r="D111" s="76">
        <v>157734865</v>
      </c>
      <c r="E111" s="77">
        <v>151778855</v>
      </c>
    </row>
    <row r="112" spans="1:5" ht="12" customHeight="1" thickBot="1" x14ac:dyDescent="0.3">
      <c r="A112" s="4" t="s">
        <v>234</v>
      </c>
      <c r="B112" s="19" t="s">
        <v>634</v>
      </c>
      <c r="C112" s="32">
        <f>+C113+C115+C114</f>
        <v>555003286</v>
      </c>
      <c r="D112" s="32">
        <f>SUM(D113:D115)</f>
        <v>717442110</v>
      </c>
      <c r="E112" s="32">
        <f>+E113+E115+E114</f>
        <v>397118900</v>
      </c>
    </row>
    <row r="113" spans="1:5" ht="12" customHeight="1" x14ac:dyDescent="0.25">
      <c r="A113" s="10" t="s">
        <v>344</v>
      </c>
      <c r="B113" s="9" t="s">
        <v>142</v>
      </c>
      <c r="C113" s="36">
        <v>306481603</v>
      </c>
      <c r="D113" s="36">
        <v>374710583</v>
      </c>
      <c r="E113" s="37">
        <v>117395559</v>
      </c>
    </row>
    <row r="114" spans="1:5" x14ac:dyDescent="0.25">
      <c r="A114" s="10" t="s">
        <v>345</v>
      </c>
      <c r="B114" s="18" t="s">
        <v>225</v>
      </c>
      <c r="C114" s="39">
        <v>182810962</v>
      </c>
      <c r="D114" s="39">
        <v>276110806</v>
      </c>
      <c r="E114" s="40">
        <v>234332492</v>
      </c>
    </row>
    <row r="115" spans="1:5" ht="12" customHeight="1" x14ac:dyDescent="0.25">
      <c r="A115" s="10" t="s">
        <v>346</v>
      </c>
      <c r="B115" s="45" t="s">
        <v>143</v>
      </c>
      <c r="C115" s="39">
        <f>SUM(C116:C123)</f>
        <v>65710721</v>
      </c>
      <c r="D115" s="724">
        <f t="shared" ref="D115:E115" si="2">SUM(D116:D123)</f>
        <v>66620721</v>
      </c>
      <c r="E115" s="724">
        <f t="shared" si="2"/>
        <v>45390849</v>
      </c>
    </row>
    <row r="116" spans="1:5" ht="21.75" customHeight="1" x14ac:dyDescent="0.25">
      <c r="A116" s="10" t="s">
        <v>347</v>
      </c>
      <c r="B116" s="78" t="s">
        <v>354</v>
      </c>
      <c r="C116" s="39"/>
      <c r="D116" s="39"/>
      <c r="E116" s="40"/>
    </row>
    <row r="117" spans="1:5" ht="24" customHeight="1" x14ac:dyDescent="0.25">
      <c r="A117" s="10" t="s">
        <v>348</v>
      </c>
      <c r="B117" s="79" t="s">
        <v>599</v>
      </c>
      <c r="C117" s="39"/>
      <c r="D117" s="39"/>
      <c r="E117" s="40"/>
    </row>
    <row r="118" spans="1:5" ht="20.25" customHeight="1" x14ac:dyDescent="0.25">
      <c r="A118" s="10" t="s">
        <v>349</v>
      </c>
      <c r="B118" s="21" t="s">
        <v>588</v>
      </c>
      <c r="C118" s="39"/>
      <c r="D118" s="39"/>
      <c r="E118" s="40"/>
    </row>
    <row r="119" spans="1:5" ht="12" customHeight="1" x14ac:dyDescent="0.25">
      <c r="A119" s="10" t="s">
        <v>350</v>
      </c>
      <c r="B119" s="21" t="s">
        <v>600</v>
      </c>
      <c r="C119" s="39"/>
      <c r="D119" s="39"/>
      <c r="E119" s="40"/>
    </row>
    <row r="120" spans="1:5" ht="12" customHeight="1" x14ac:dyDescent="0.25">
      <c r="A120" s="10" t="s">
        <v>441</v>
      </c>
      <c r="B120" s="21" t="s">
        <v>601</v>
      </c>
      <c r="C120" s="39"/>
      <c r="D120" s="39"/>
      <c r="E120" s="40"/>
    </row>
    <row r="121" spans="1:5" s="80" customFormat="1" ht="19.5" customHeight="1" x14ac:dyDescent="0.2">
      <c r="A121" s="10" t="s">
        <v>442</v>
      </c>
      <c r="B121" s="21" t="s">
        <v>591</v>
      </c>
      <c r="C121" s="39"/>
      <c r="D121" s="39"/>
      <c r="E121" s="40"/>
    </row>
    <row r="122" spans="1:5" ht="12" customHeight="1" x14ac:dyDescent="0.25">
      <c r="A122" s="10" t="s">
        <v>127</v>
      </c>
      <c r="B122" s="21" t="s">
        <v>604</v>
      </c>
      <c r="C122" s="39"/>
      <c r="D122" s="39"/>
      <c r="E122" s="40"/>
    </row>
    <row r="123" spans="1:5" ht="20.25" customHeight="1" thickBot="1" x14ac:dyDescent="0.3">
      <c r="A123" s="6" t="s">
        <v>602</v>
      </c>
      <c r="B123" s="21" t="s">
        <v>606</v>
      </c>
      <c r="C123" s="42">
        <v>65710721</v>
      </c>
      <c r="D123" s="42">
        <v>66620721</v>
      </c>
      <c r="E123" s="43">
        <v>45390849</v>
      </c>
    </row>
    <row r="124" spans="1:5" ht="12" customHeight="1" thickBot="1" x14ac:dyDescent="0.3">
      <c r="A124" s="4" t="s">
        <v>235</v>
      </c>
      <c r="B124" s="81" t="s">
        <v>607</v>
      </c>
      <c r="C124" s="32">
        <f>+C125+C126</f>
        <v>80846522</v>
      </c>
      <c r="D124" s="32">
        <f>+D125+D126</f>
        <v>91990058</v>
      </c>
      <c r="E124" s="33">
        <f>+E125+E126</f>
        <v>0</v>
      </c>
    </row>
    <row r="125" spans="1:5" ht="12" customHeight="1" x14ac:dyDescent="0.25">
      <c r="A125" s="10" t="s">
        <v>312</v>
      </c>
      <c r="B125" s="11" t="s">
        <v>351</v>
      </c>
      <c r="C125" s="36">
        <v>15000000</v>
      </c>
      <c r="D125" s="36">
        <v>10857171</v>
      </c>
      <c r="E125" s="37"/>
    </row>
    <row r="126" spans="1:5" ht="12" customHeight="1" thickBot="1" x14ac:dyDescent="0.3">
      <c r="A126" s="12" t="s">
        <v>313</v>
      </c>
      <c r="B126" s="18" t="s">
        <v>352</v>
      </c>
      <c r="C126" s="42">
        <v>65846522</v>
      </c>
      <c r="D126" s="42">
        <v>81132887</v>
      </c>
      <c r="E126" s="43"/>
    </row>
    <row r="127" spans="1:5" ht="12" customHeight="1" thickBot="1" x14ac:dyDescent="0.3">
      <c r="A127" s="4" t="s">
        <v>236</v>
      </c>
      <c r="B127" s="81" t="s">
        <v>608</v>
      </c>
      <c r="C127" s="32">
        <f>+C94+C112+C124</f>
        <v>2973125008</v>
      </c>
      <c r="D127" s="32">
        <f>+D94+D112+D124</f>
        <v>3102917091</v>
      </c>
      <c r="E127" s="33">
        <f>+E94+E112+E124</f>
        <v>2534473084</v>
      </c>
    </row>
    <row r="128" spans="1:5" ht="12" customHeight="1" thickBot="1" x14ac:dyDescent="0.3">
      <c r="A128" s="4" t="s">
        <v>237</v>
      </c>
      <c r="B128" s="81" t="s">
        <v>609</v>
      </c>
      <c r="C128" s="32">
        <f>+C129+C130+C131</f>
        <v>108486704</v>
      </c>
      <c r="D128" s="32">
        <f>+D129+D130+D131</f>
        <v>108486704</v>
      </c>
      <c r="E128" s="33">
        <f>+E129+E130+E131</f>
        <v>8118704</v>
      </c>
    </row>
    <row r="129" spans="1:9" ht="12" customHeight="1" x14ac:dyDescent="0.25">
      <c r="A129" s="10" t="s">
        <v>319</v>
      </c>
      <c r="B129" s="11" t="s">
        <v>610</v>
      </c>
      <c r="C129" s="39">
        <v>8486704</v>
      </c>
      <c r="D129" s="39">
        <v>8486704</v>
      </c>
      <c r="E129" s="40">
        <v>8118704</v>
      </c>
    </row>
    <row r="130" spans="1:9" ht="12" customHeight="1" x14ac:dyDescent="0.25">
      <c r="A130" s="10" t="s">
        <v>320</v>
      </c>
      <c r="B130" s="11" t="s">
        <v>611</v>
      </c>
      <c r="C130" s="39">
        <v>100000000</v>
      </c>
      <c r="D130" s="39">
        <v>100000000</v>
      </c>
      <c r="E130" s="40"/>
    </row>
    <row r="131" spans="1:9" ht="12" customHeight="1" thickBot="1" x14ac:dyDescent="0.3">
      <c r="A131" s="6" t="s">
        <v>321</v>
      </c>
      <c r="B131" s="7" t="s">
        <v>612</v>
      </c>
      <c r="C131" s="39"/>
      <c r="D131" s="39"/>
      <c r="E131" s="40"/>
    </row>
    <row r="132" spans="1:9" ht="12" customHeight="1" thickBot="1" x14ac:dyDescent="0.3">
      <c r="A132" s="4" t="s">
        <v>240</v>
      </c>
      <c r="B132" s="81" t="s">
        <v>613</v>
      </c>
      <c r="C132" s="32">
        <f>+C133+C134+C136+C135</f>
        <v>0</v>
      </c>
      <c r="D132" s="32">
        <f>+D133+D134+D136+D135</f>
        <v>0</v>
      </c>
      <c r="E132" s="33">
        <f>+E133+E134+E136+E135</f>
        <v>0</v>
      </c>
    </row>
    <row r="133" spans="1:9" ht="12" customHeight="1" x14ac:dyDescent="0.25">
      <c r="A133" s="10" t="s">
        <v>322</v>
      </c>
      <c r="B133" s="11" t="s">
        <v>614</v>
      </c>
      <c r="C133" s="39"/>
      <c r="D133" s="39"/>
      <c r="E133" s="40"/>
    </row>
    <row r="134" spans="1:9" ht="12" customHeight="1" x14ac:dyDescent="0.25">
      <c r="A134" s="10" t="s">
        <v>323</v>
      </c>
      <c r="B134" s="11" t="s">
        <v>615</v>
      </c>
      <c r="C134" s="39"/>
      <c r="D134" s="39"/>
      <c r="E134" s="40"/>
    </row>
    <row r="135" spans="1:9" ht="12" customHeight="1" x14ac:dyDescent="0.25">
      <c r="A135" s="10" t="s">
        <v>509</v>
      </c>
      <c r="B135" s="11" t="s">
        <v>616</v>
      </c>
      <c r="C135" s="39"/>
      <c r="D135" s="39"/>
      <c r="E135" s="40"/>
    </row>
    <row r="136" spans="1:9" ht="12" customHeight="1" thickBot="1" x14ac:dyDescent="0.3">
      <c r="A136" s="6" t="s">
        <v>511</v>
      </c>
      <c r="B136" s="7" t="s">
        <v>617</v>
      </c>
      <c r="C136" s="39"/>
      <c r="D136" s="39"/>
      <c r="E136" s="40"/>
    </row>
    <row r="137" spans="1:9" ht="12" customHeight="1" thickBot="1" x14ac:dyDescent="0.3">
      <c r="A137" s="4" t="s">
        <v>241</v>
      </c>
      <c r="B137" s="81" t="s">
        <v>618</v>
      </c>
      <c r="C137" s="46">
        <f>+C138+C139+C140+C141</f>
        <v>38167591</v>
      </c>
      <c r="D137" s="46">
        <f>+D138+D139+D140+D141</f>
        <v>38167591</v>
      </c>
      <c r="E137" s="47">
        <f>+E138+E139+E140+E141</f>
        <v>38167591</v>
      </c>
    </row>
    <row r="138" spans="1:9" ht="12" customHeight="1" x14ac:dyDescent="0.25">
      <c r="A138" s="10" t="s">
        <v>324</v>
      </c>
      <c r="B138" s="11" t="s">
        <v>619</v>
      </c>
      <c r="C138" s="39"/>
      <c r="D138" s="39"/>
      <c r="E138" s="40"/>
    </row>
    <row r="139" spans="1:9" ht="12" customHeight="1" x14ac:dyDescent="0.25">
      <c r="A139" s="10" t="s">
        <v>325</v>
      </c>
      <c r="B139" s="11" t="s">
        <v>620</v>
      </c>
      <c r="C139" s="39">
        <v>38167591</v>
      </c>
      <c r="D139" s="39">
        <v>38167591</v>
      </c>
      <c r="E139" s="40">
        <v>38167591</v>
      </c>
    </row>
    <row r="140" spans="1:9" ht="12" customHeight="1" x14ac:dyDescent="0.25">
      <c r="A140" s="10" t="s">
        <v>434</v>
      </c>
      <c r="B140" s="11" t="s">
        <v>621</v>
      </c>
      <c r="C140" s="39"/>
      <c r="D140" s="39"/>
      <c r="E140" s="40"/>
    </row>
    <row r="141" spans="1:9" ht="12" customHeight="1" thickBot="1" x14ac:dyDescent="0.3">
      <c r="A141" s="6" t="s">
        <v>519</v>
      </c>
      <c r="B141" s="7" t="s">
        <v>622</v>
      </c>
      <c r="C141" s="39"/>
      <c r="D141" s="39"/>
      <c r="E141" s="40"/>
    </row>
    <row r="142" spans="1:9" ht="15" customHeight="1" thickBot="1" x14ac:dyDescent="0.3">
      <c r="A142" s="4" t="s">
        <v>242</v>
      </c>
      <c r="B142" s="81" t="s">
        <v>623</v>
      </c>
      <c r="C142" s="82">
        <f>+C143+C144+C145+C146</f>
        <v>0</v>
      </c>
      <c r="D142" s="82">
        <f>+D143+D144+D145+D146</f>
        <v>0</v>
      </c>
      <c r="E142" s="83">
        <f>+E143+E144+E145+E146</f>
        <v>0</v>
      </c>
      <c r="F142" s="84"/>
      <c r="G142" s="85"/>
      <c r="H142" s="85"/>
      <c r="I142" s="85"/>
    </row>
    <row r="143" spans="1:9" s="34" customFormat="1" ht="12.95" customHeight="1" x14ac:dyDescent="0.2">
      <c r="A143" s="10" t="s">
        <v>435</v>
      </c>
      <c r="B143" s="11" t="s">
        <v>624</v>
      </c>
      <c r="C143" s="39"/>
      <c r="D143" s="39"/>
      <c r="E143" s="40"/>
    </row>
    <row r="144" spans="1:9" ht="12.75" customHeight="1" x14ac:dyDescent="0.25">
      <c r="A144" s="10" t="s">
        <v>436</v>
      </c>
      <c r="B144" s="11" t="s">
        <v>625</v>
      </c>
      <c r="C144" s="39"/>
      <c r="D144" s="39"/>
      <c r="E144" s="40"/>
    </row>
    <row r="145" spans="1:8" ht="12.75" customHeight="1" x14ac:dyDescent="0.25">
      <c r="A145" s="10" t="s">
        <v>524</v>
      </c>
      <c r="B145" s="11" t="s">
        <v>626</v>
      </c>
      <c r="C145" s="39"/>
      <c r="D145" s="39"/>
      <c r="E145" s="40"/>
    </row>
    <row r="146" spans="1:8" ht="12.75" customHeight="1" thickBot="1" x14ac:dyDescent="0.3">
      <c r="A146" s="10" t="s">
        <v>526</v>
      </c>
      <c r="B146" s="11" t="s">
        <v>627</v>
      </c>
      <c r="C146" s="39"/>
      <c r="D146" s="39"/>
      <c r="E146" s="40"/>
    </row>
    <row r="147" spans="1:8" ht="16.5" thickBot="1" x14ac:dyDescent="0.3">
      <c r="A147" s="4" t="s">
        <v>243</v>
      </c>
      <c r="B147" s="81" t="s">
        <v>628</v>
      </c>
      <c r="C147" s="86">
        <f>+C128+C132+C137+C142</f>
        <v>146654295</v>
      </c>
      <c r="D147" s="86">
        <f>+D128+D132+D137+D142</f>
        <v>146654295</v>
      </c>
      <c r="E147" s="87">
        <f>+E128+E132+E137+E142</f>
        <v>46286295</v>
      </c>
    </row>
    <row r="148" spans="1:8" ht="16.5" thickBot="1" x14ac:dyDescent="0.3">
      <c r="A148" s="88" t="s">
        <v>244</v>
      </c>
      <c r="B148" s="89" t="s">
        <v>629</v>
      </c>
      <c r="C148" s="86">
        <f>+C127+C147</f>
        <v>3119779303</v>
      </c>
      <c r="D148" s="86">
        <f>+D127+D147</f>
        <v>3249571386</v>
      </c>
      <c r="E148" s="87">
        <f>+E127+E147</f>
        <v>2580759379</v>
      </c>
      <c r="F148" s="25">
        <f>'2.1.sz.mell  '!G29+'2.2.sz.mell  '!G31</f>
        <v>3119779303</v>
      </c>
      <c r="G148" s="25">
        <f>'2.1.sz.mell  '!H29+'2.2.sz.mell  '!H31</f>
        <v>3249571386</v>
      </c>
      <c r="H148" s="25">
        <f>'2.1.sz.mell  '!I29+'2.2.sz.mell  '!I31</f>
        <v>2580759379</v>
      </c>
    </row>
    <row r="150" spans="1:8" ht="18.75" customHeight="1" x14ac:dyDescent="0.25">
      <c r="A150" s="1148" t="s">
        <v>630</v>
      </c>
      <c r="B150" s="1148"/>
      <c r="C150" s="1148"/>
      <c r="D150" s="1148"/>
      <c r="E150" s="1148"/>
    </row>
    <row r="151" spans="1:8" ht="13.5" customHeight="1" thickBot="1" x14ac:dyDescent="0.3">
      <c r="A151" s="90" t="s">
        <v>371</v>
      </c>
      <c r="B151" s="90"/>
      <c r="C151" s="25"/>
      <c r="E151" s="27" t="s">
        <v>488</v>
      </c>
    </row>
    <row r="152" spans="1:8" ht="21.75" thickBot="1" x14ac:dyDescent="0.3">
      <c r="A152" s="4">
        <v>1</v>
      </c>
      <c r="B152" s="19" t="s">
        <v>631</v>
      </c>
      <c r="C152" s="92">
        <f>+C63-C127</f>
        <v>-642054020</v>
      </c>
      <c r="D152" s="92">
        <f>+D63-D127</f>
        <v>-728270827</v>
      </c>
      <c r="E152" s="92">
        <f>+E63-E127</f>
        <v>-312346859</v>
      </c>
    </row>
    <row r="153" spans="1:8" ht="21.75" thickBot="1" x14ac:dyDescent="0.3">
      <c r="A153" s="4" t="s">
        <v>234</v>
      </c>
      <c r="B153" s="19" t="s">
        <v>632</v>
      </c>
      <c r="C153" s="92">
        <f>+C86-C147</f>
        <v>642054020</v>
      </c>
      <c r="D153" s="92">
        <f>+D86-D147</f>
        <v>728270827</v>
      </c>
      <c r="E153" s="92">
        <f>+E86-E147</f>
        <v>679614794</v>
      </c>
    </row>
    <row r="154" spans="1:8" ht="7.5" customHeight="1" x14ac:dyDescent="0.25"/>
    <row r="156" spans="1:8" ht="12.75" customHeight="1" x14ac:dyDescent="0.25"/>
    <row r="157" spans="1:8" ht="12.75" customHeight="1" x14ac:dyDescent="0.25"/>
    <row r="158" spans="1:8" ht="12.75" customHeight="1" x14ac:dyDescent="0.25"/>
    <row r="159" spans="1:8" ht="12.75" customHeight="1" x14ac:dyDescent="0.25"/>
    <row r="160" spans="1:8" ht="12.75" customHeight="1" x14ac:dyDescent="0.25"/>
    <row r="161" ht="12.75" customHeight="1" x14ac:dyDescent="0.25"/>
    <row r="162" ht="12.75" customHeight="1" x14ac:dyDescent="0.25"/>
    <row r="163" ht="12.75" customHeight="1" x14ac:dyDescent="0.25"/>
  </sheetData>
  <mergeCells count="8">
    <mergeCell ref="A150:E150"/>
    <mergeCell ref="A1:E1"/>
    <mergeCell ref="A89:E89"/>
    <mergeCell ref="A91:A92"/>
    <mergeCell ref="B91:B92"/>
    <mergeCell ref="A3:A4"/>
    <mergeCell ref="B3:B4"/>
    <mergeCell ref="C3:E3"/>
  </mergeCells>
  <phoneticPr fontId="24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2018. ÉVI ZÁRSZÁMADÁSÁNAK PÉNZÜGYI MÉRLEGE&amp;10
&amp;R&amp;"Times New Roman CE,Félkövér dőlt"&amp;11 1.melléklet a ../.....(....) önkormányzati rendelethez</oddHeader>
  </headerFooter>
  <rowBreaks count="1" manualBreakCount="1">
    <brk id="88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view="pageBreakPreview" zoomScaleNormal="100" zoomScaleSheetLayoutView="100" workbookViewId="0">
      <selection activeCell="H12" sqref="H12"/>
    </sheetView>
  </sheetViews>
  <sheetFormatPr defaultColWidth="8" defaultRowHeight="12.75" x14ac:dyDescent="0.2"/>
  <cols>
    <col min="1" max="1" width="24.42578125" style="1080" customWidth="1"/>
    <col min="2" max="2" width="10.140625" style="1080" bestFit="1" customWidth="1"/>
    <col min="3" max="12" width="9.5703125" style="1080" bestFit="1" customWidth="1"/>
    <col min="13" max="13" width="8.5703125" style="1080" customWidth="1"/>
    <col min="14" max="14" width="3.42578125" style="1080" customWidth="1"/>
    <col min="15" max="256" width="8" style="1080"/>
    <col min="257" max="257" width="24.42578125" style="1080" customWidth="1"/>
    <col min="258" max="258" width="10.140625" style="1080" bestFit="1" customWidth="1"/>
    <col min="259" max="259" width="9.5703125" style="1080" bestFit="1" customWidth="1"/>
    <col min="260" max="263" width="8.5703125" style="1080" customWidth="1"/>
    <col min="264" max="265" width="9.5703125" style="1080" bestFit="1" customWidth="1"/>
    <col min="266" max="269" width="8.5703125" style="1080" customWidth="1"/>
    <col min="270" max="270" width="3.42578125" style="1080" customWidth="1"/>
    <col min="271" max="512" width="8" style="1080"/>
    <col min="513" max="513" width="24.42578125" style="1080" customWidth="1"/>
    <col min="514" max="514" width="10.140625" style="1080" bestFit="1" customWidth="1"/>
    <col min="515" max="515" width="9.5703125" style="1080" bestFit="1" customWidth="1"/>
    <col min="516" max="519" width="8.5703125" style="1080" customWidth="1"/>
    <col min="520" max="521" width="9.5703125" style="1080" bestFit="1" customWidth="1"/>
    <col min="522" max="525" width="8.5703125" style="1080" customWidth="1"/>
    <col min="526" max="526" width="3.42578125" style="1080" customWidth="1"/>
    <col min="527" max="768" width="8" style="1080"/>
    <col min="769" max="769" width="24.42578125" style="1080" customWidth="1"/>
    <col min="770" max="770" width="10.140625" style="1080" bestFit="1" customWidth="1"/>
    <col min="771" max="771" width="9.5703125" style="1080" bestFit="1" customWidth="1"/>
    <col min="772" max="775" width="8.5703125" style="1080" customWidth="1"/>
    <col min="776" max="777" width="9.5703125" style="1080" bestFit="1" customWidth="1"/>
    <col min="778" max="781" width="8.5703125" style="1080" customWidth="1"/>
    <col min="782" max="782" width="3.42578125" style="1080" customWidth="1"/>
    <col min="783" max="1024" width="8" style="1080"/>
    <col min="1025" max="1025" width="24.42578125" style="1080" customWidth="1"/>
    <col min="1026" max="1026" width="10.140625" style="1080" bestFit="1" customWidth="1"/>
    <col min="1027" max="1027" width="9.5703125" style="1080" bestFit="1" customWidth="1"/>
    <col min="1028" max="1031" width="8.5703125" style="1080" customWidth="1"/>
    <col min="1032" max="1033" width="9.5703125" style="1080" bestFit="1" customWidth="1"/>
    <col min="1034" max="1037" width="8.5703125" style="1080" customWidth="1"/>
    <col min="1038" max="1038" width="3.42578125" style="1080" customWidth="1"/>
    <col min="1039" max="1280" width="8" style="1080"/>
    <col min="1281" max="1281" width="24.42578125" style="1080" customWidth="1"/>
    <col min="1282" max="1282" width="10.140625" style="1080" bestFit="1" customWidth="1"/>
    <col min="1283" max="1283" width="9.5703125" style="1080" bestFit="1" customWidth="1"/>
    <col min="1284" max="1287" width="8.5703125" style="1080" customWidth="1"/>
    <col min="1288" max="1289" width="9.5703125" style="1080" bestFit="1" customWidth="1"/>
    <col min="1290" max="1293" width="8.5703125" style="1080" customWidth="1"/>
    <col min="1294" max="1294" width="3.42578125" style="1080" customWidth="1"/>
    <col min="1295" max="1536" width="8" style="1080"/>
    <col min="1537" max="1537" width="24.42578125" style="1080" customWidth="1"/>
    <col min="1538" max="1538" width="10.140625" style="1080" bestFit="1" customWidth="1"/>
    <col min="1539" max="1539" width="9.5703125" style="1080" bestFit="1" customWidth="1"/>
    <col min="1540" max="1543" width="8.5703125" style="1080" customWidth="1"/>
    <col min="1544" max="1545" width="9.5703125" style="1080" bestFit="1" customWidth="1"/>
    <col min="1546" max="1549" width="8.5703125" style="1080" customWidth="1"/>
    <col min="1550" max="1550" width="3.42578125" style="1080" customWidth="1"/>
    <col min="1551" max="1792" width="8" style="1080"/>
    <col min="1793" max="1793" width="24.42578125" style="1080" customWidth="1"/>
    <col min="1794" max="1794" width="10.140625" style="1080" bestFit="1" customWidth="1"/>
    <col min="1795" max="1795" width="9.5703125" style="1080" bestFit="1" customWidth="1"/>
    <col min="1796" max="1799" width="8.5703125" style="1080" customWidth="1"/>
    <col min="1800" max="1801" width="9.5703125" style="1080" bestFit="1" customWidth="1"/>
    <col min="1802" max="1805" width="8.5703125" style="1080" customWidth="1"/>
    <col min="1806" max="1806" width="3.42578125" style="1080" customWidth="1"/>
    <col min="1807" max="2048" width="8" style="1080"/>
    <col min="2049" max="2049" width="24.42578125" style="1080" customWidth="1"/>
    <col min="2050" max="2050" width="10.140625" style="1080" bestFit="1" customWidth="1"/>
    <col min="2051" max="2051" width="9.5703125" style="1080" bestFit="1" customWidth="1"/>
    <col min="2052" max="2055" width="8.5703125" style="1080" customWidth="1"/>
    <col min="2056" max="2057" width="9.5703125" style="1080" bestFit="1" customWidth="1"/>
    <col min="2058" max="2061" width="8.5703125" style="1080" customWidth="1"/>
    <col min="2062" max="2062" width="3.42578125" style="1080" customWidth="1"/>
    <col min="2063" max="2304" width="8" style="1080"/>
    <col min="2305" max="2305" width="24.42578125" style="1080" customWidth="1"/>
    <col min="2306" max="2306" width="10.140625" style="1080" bestFit="1" customWidth="1"/>
    <col min="2307" max="2307" width="9.5703125" style="1080" bestFit="1" customWidth="1"/>
    <col min="2308" max="2311" width="8.5703125" style="1080" customWidth="1"/>
    <col min="2312" max="2313" width="9.5703125" style="1080" bestFit="1" customWidth="1"/>
    <col min="2314" max="2317" width="8.5703125" style="1080" customWidth="1"/>
    <col min="2318" max="2318" width="3.42578125" style="1080" customWidth="1"/>
    <col min="2319" max="2560" width="8" style="1080"/>
    <col min="2561" max="2561" width="24.42578125" style="1080" customWidth="1"/>
    <col min="2562" max="2562" width="10.140625" style="1080" bestFit="1" customWidth="1"/>
    <col min="2563" max="2563" width="9.5703125" style="1080" bestFit="1" customWidth="1"/>
    <col min="2564" max="2567" width="8.5703125" style="1080" customWidth="1"/>
    <col min="2568" max="2569" width="9.5703125" style="1080" bestFit="1" customWidth="1"/>
    <col min="2570" max="2573" width="8.5703125" style="1080" customWidth="1"/>
    <col min="2574" max="2574" width="3.42578125" style="1080" customWidth="1"/>
    <col min="2575" max="2816" width="8" style="1080"/>
    <col min="2817" max="2817" width="24.42578125" style="1080" customWidth="1"/>
    <col min="2818" max="2818" width="10.140625" style="1080" bestFit="1" customWidth="1"/>
    <col min="2819" max="2819" width="9.5703125" style="1080" bestFit="1" customWidth="1"/>
    <col min="2820" max="2823" width="8.5703125" style="1080" customWidth="1"/>
    <col min="2824" max="2825" width="9.5703125" style="1080" bestFit="1" customWidth="1"/>
    <col min="2826" max="2829" width="8.5703125" style="1080" customWidth="1"/>
    <col min="2830" max="2830" width="3.42578125" style="1080" customWidth="1"/>
    <col min="2831" max="3072" width="8" style="1080"/>
    <col min="3073" max="3073" width="24.42578125" style="1080" customWidth="1"/>
    <col min="3074" max="3074" width="10.140625" style="1080" bestFit="1" customWidth="1"/>
    <col min="3075" max="3075" width="9.5703125" style="1080" bestFit="1" customWidth="1"/>
    <col min="3076" max="3079" width="8.5703125" style="1080" customWidth="1"/>
    <col min="3080" max="3081" width="9.5703125" style="1080" bestFit="1" customWidth="1"/>
    <col min="3082" max="3085" width="8.5703125" style="1080" customWidth="1"/>
    <col min="3086" max="3086" width="3.42578125" style="1080" customWidth="1"/>
    <col min="3087" max="3328" width="8" style="1080"/>
    <col min="3329" max="3329" width="24.42578125" style="1080" customWidth="1"/>
    <col min="3330" max="3330" width="10.140625" style="1080" bestFit="1" customWidth="1"/>
    <col min="3331" max="3331" width="9.5703125" style="1080" bestFit="1" customWidth="1"/>
    <col min="3332" max="3335" width="8.5703125" style="1080" customWidth="1"/>
    <col min="3336" max="3337" width="9.5703125" style="1080" bestFit="1" customWidth="1"/>
    <col min="3338" max="3341" width="8.5703125" style="1080" customWidth="1"/>
    <col min="3342" max="3342" width="3.42578125" style="1080" customWidth="1"/>
    <col min="3343" max="3584" width="8" style="1080"/>
    <col min="3585" max="3585" width="24.42578125" style="1080" customWidth="1"/>
    <col min="3586" max="3586" width="10.140625" style="1080" bestFit="1" customWidth="1"/>
    <col min="3587" max="3587" width="9.5703125" style="1080" bestFit="1" customWidth="1"/>
    <col min="3588" max="3591" width="8.5703125" style="1080" customWidth="1"/>
    <col min="3592" max="3593" width="9.5703125" style="1080" bestFit="1" customWidth="1"/>
    <col min="3594" max="3597" width="8.5703125" style="1080" customWidth="1"/>
    <col min="3598" max="3598" width="3.42578125" style="1080" customWidth="1"/>
    <col min="3599" max="3840" width="8" style="1080"/>
    <col min="3841" max="3841" width="24.42578125" style="1080" customWidth="1"/>
    <col min="3842" max="3842" width="10.140625" style="1080" bestFit="1" customWidth="1"/>
    <col min="3843" max="3843" width="9.5703125" style="1080" bestFit="1" customWidth="1"/>
    <col min="3844" max="3847" width="8.5703125" style="1080" customWidth="1"/>
    <col min="3848" max="3849" width="9.5703125" style="1080" bestFit="1" customWidth="1"/>
    <col min="3850" max="3853" width="8.5703125" style="1080" customWidth="1"/>
    <col min="3854" max="3854" width="3.42578125" style="1080" customWidth="1"/>
    <col min="3855" max="4096" width="8" style="1080"/>
    <col min="4097" max="4097" width="24.42578125" style="1080" customWidth="1"/>
    <col min="4098" max="4098" width="10.140625" style="1080" bestFit="1" customWidth="1"/>
    <col min="4099" max="4099" width="9.5703125" style="1080" bestFit="1" customWidth="1"/>
    <col min="4100" max="4103" width="8.5703125" style="1080" customWidth="1"/>
    <col min="4104" max="4105" width="9.5703125" style="1080" bestFit="1" customWidth="1"/>
    <col min="4106" max="4109" width="8.5703125" style="1080" customWidth="1"/>
    <col min="4110" max="4110" width="3.42578125" style="1080" customWidth="1"/>
    <col min="4111" max="4352" width="8" style="1080"/>
    <col min="4353" max="4353" width="24.42578125" style="1080" customWidth="1"/>
    <col min="4354" max="4354" width="10.140625" style="1080" bestFit="1" customWidth="1"/>
    <col min="4355" max="4355" width="9.5703125" style="1080" bestFit="1" customWidth="1"/>
    <col min="4356" max="4359" width="8.5703125" style="1080" customWidth="1"/>
    <col min="4360" max="4361" width="9.5703125" style="1080" bestFit="1" customWidth="1"/>
    <col min="4362" max="4365" width="8.5703125" style="1080" customWidth="1"/>
    <col min="4366" max="4366" width="3.42578125" style="1080" customWidth="1"/>
    <col min="4367" max="4608" width="8" style="1080"/>
    <col min="4609" max="4609" width="24.42578125" style="1080" customWidth="1"/>
    <col min="4610" max="4610" width="10.140625" style="1080" bestFit="1" customWidth="1"/>
    <col min="4611" max="4611" width="9.5703125" style="1080" bestFit="1" customWidth="1"/>
    <col min="4612" max="4615" width="8.5703125" style="1080" customWidth="1"/>
    <col min="4616" max="4617" width="9.5703125" style="1080" bestFit="1" customWidth="1"/>
    <col min="4618" max="4621" width="8.5703125" style="1080" customWidth="1"/>
    <col min="4622" max="4622" width="3.42578125" style="1080" customWidth="1"/>
    <col min="4623" max="4864" width="8" style="1080"/>
    <col min="4865" max="4865" width="24.42578125" style="1080" customWidth="1"/>
    <col min="4866" max="4866" width="10.140625" style="1080" bestFit="1" customWidth="1"/>
    <col min="4867" max="4867" width="9.5703125" style="1080" bestFit="1" customWidth="1"/>
    <col min="4868" max="4871" width="8.5703125" style="1080" customWidth="1"/>
    <col min="4872" max="4873" width="9.5703125" style="1080" bestFit="1" customWidth="1"/>
    <col min="4874" max="4877" width="8.5703125" style="1080" customWidth="1"/>
    <col min="4878" max="4878" width="3.42578125" style="1080" customWidth="1"/>
    <col min="4879" max="5120" width="8" style="1080"/>
    <col min="5121" max="5121" width="24.42578125" style="1080" customWidth="1"/>
    <col min="5122" max="5122" width="10.140625" style="1080" bestFit="1" customWidth="1"/>
    <col min="5123" max="5123" width="9.5703125" style="1080" bestFit="1" customWidth="1"/>
    <col min="5124" max="5127" width="8.5703125" style="1080" customWidth="1"/>
    <col min="5128" max="5129" width="9.5703125" style="1080" bestFit="1" customWidth="1"/>
    <col min="5130" max="5133" width="8.5703125" style="1080" customWidth="1"/>
    <col min="5134" max="5134" width="3.42578125" style="1080" customWidth="1"/>
    <col min="5135" max="5376" width="8" style="1080"/>
    <col min="5377" max="5377" width="24.42578125" style="1080" customWidth="1"/>
    <col min="5378" max="5378" width="10.140625" style="1080" bestFit="1" customWidth="1"/>
    <col min="5379" max="5379" width="9.5703125" style="1080" bestFit="1" customWidth="1"/>
    <col min="5380" max="5383" width="8.5703125" style="1080" customWidth="1"/>
    <col min="5384" max="5385" width="9.5703125" style="1080" bestFit="1" customWidth="1"/>
    <col min="5386" max="5389" width="8.5703125" style="1080" customWidth="1"/>
    <col min="5390" max="5390" width="3.42578125" style="1080" customWidth="1"/>
    <col min="5391" max="5632" width="8" style="1080"/>
    <col min="5633" max="5633" width="24.42578125" style="1080" customWidth="1"/>
    <col min="5634" max="5634" width="10.140625" style="1080" bestFit="1" customWidth="1"/>
    <col min="5635" max="5635" width="9.5703125" style="1080" bestFit="1" customWidth="1"/>
    <col min="5636" max="5639" width="8.5703125" style="1080" customWidth="1"/>
    <col min="5640" max="5641" width="9.5703125" style="1080" bestFit="1" customWidth="1"/>
    <col min="5642" max="5645" width="8.5703125" style="1080" customWidth="1"/>
    <col min="5646" max="5646" width="3.42578125" style="1080" customWidth="1"/>
    <col min="5647" max="5888" width="8" style="1080"/>
    <col min="5889" max="5889" width="24.42578125" style="1080" customWidth="1"/>
    <col min="5890" max="5890" width="10.140625" style="1080" bestFit="1" customWidth="1"/>
    <col min="5891" max="5891" width="9.5703125" style="1080" bestFit="1" customWidth="1"/>
    <col min="5892" max="5895" width="8.5703125" style="1080" customWidth="1"/>
    <col min="5896" max="5897" width="9.5703125" style="1080" bestFit="1" customWidth="1"/>
    <col min="5898" max="5901" width="8.5703125" style="1080" customWidth="1"/>
    <col min="5902" max="5902" width="3.42578125" style="1080" customWidth="1"/>
    <col min="5903" max="6144" width="8" style="1080"/>
    <col min="6145" max="6145" width="24.42578125" style="1080" customWidth="1"/>
    <col min="6146" max="6146" width="10.140625" style="1080" bestFit="1" customWidth="1"/>
    <col min="6147" max="6147" width="9.5703125" style="1080" bestFit="1" customWidth="1"/>
    <col min="6148" max="6151" width="8.5703125" style="1080" customWidth="1"/>
    <col min="6152" max="6153" width="9.5703125" style="1080" bestFit="1" customWidth="1"/>
    <col min="6154" max="6157" width="8.5703125" style="1080" customWidth="1"/>
    <col min="6158" max="6158" width="3.42578125" style="1080" customWidth="1"/>
    <col min="6159" max="6400" width="8" style="1080"/>
    <col min="6401" max="6401" width="24.42578125" style="1080" customWidth="1"/>
    <col min="6402" max="6402" width="10.140625" style="1080" bestFit="1" customWidth="1"/>
    <col min="6403" max="6403" width="9.5703125" style="1080" bestFit="1" customWidth="1"/>
    <col min="6404" max="6407" width="8.5703125" style="1080" customWidth="1"/>
    <col min="6408" max="6409" width="9.5703125" style="1080" bestFit="1" customWidth="1"/>
    <col min="6410" max="6413" width="8.5703125" style="1080" customWidth="1"/>
    <col min="6414" max="6414" width="3.42578125" style="1080" customWidth="1"/>
    <col min="6415" max="6656" width="8" style="1080"/>
    <col min="6657" max="6657" width="24.42578125" style="1080" customWidth="1"/>
    <col min="6658" max="6658" width="10.140625" style="1080" bestFit="1" customWidth="1"/>
    <col min="6659" max="6659" width="9.5703125" style="1080" bestFit="1" customWidth="1"/>
    <col min="6660" max="6663" width="8.5703125" style="1080" customWidth="1"/>
    <col min="6664" max="6665" width="9.5703125" style="1080" bestFit="1" customWidth="1"/>
    <col min="6666" max="6669" width="8.5703125" style="1080" customWidth="1"/>
    <col min="6670" max="6670" width="3.42578125" style="1080" customWidth="1"/>
    <col min="6671" max="6912" width="8" style="1080"/>
    <col min="6913" max="6913" width="24.42578125" style="1080" customWidth="1"/>
    <col min="6914" max="6914" width="10.140625" style="1080" bestFit="1" customWidth="1"/>
    <col min="6915" max="6915" width="9.5703125" style="1080" bestFit="1" customWidth="1"/>
    <col min="6916" max="6919" width="8.5703125" style="1080" customWidth="1"/>
    <col min="6920" max="6921" width="9.5703125" style="1080" bestFit="1" customWidth="1"/>
    <col min="6922" max="6925" width="8.5703125" style="1080" customWidth="1"/>
    <col min="6926" max="6926" width="3.42578125" style="1080" customWidth="1"/>
    <col min="6927" max="7168" width="8" style="1080"/>
    <col min="7169" max="7169" width="24.42578125" style="1080" customWidth="1"/>
    <col min="7170" max="7170" width="10.140625" style="1080" bestFit="1" customWidth="1"/>
    <col min="7171" max="7171" width="9.5703125" style="1080" bestFit="1" customWidth="1"/>
    <col min="7172" max="7175" width="8.5703125" style="1080" customWidth="1"/>
    <col min="7176" max="7177" width="9.5703125" style="1080" bestFit="1" customWidth="1"/>
    <col min="7178" max="7181" width="8.5703125" style="1080" customWidth="1"/>
    <col min="7182" max="7182" width="3.42578125" style="1080" customWidth="1"/>
    <col min="7183" max="7424" width="8" style="1080"/>
    <col min="7425" max="7425" width="24.42578125" style="1080" customWidth="1"/>
    <col min="7426" max="7426" width="10.140625" style="1080" bestFit="1" customWidth="1"/>
    <col min="7427" max="7427" width="9.5703125" style="1080" bestFit="1" customWidth="1"/>
    <col min="7428" max="7431" width="8.5703125" style="1080" customWidth="1"/>
    <col min="7432" max="7433" width="9.5703125" style="1080" bestFit="1" customWidth="1"/>
    <col min="7434" max="7437" width="8.5703125" style="1080" customWidth="1"/>
    <col min="7438" max="7438" width="3.42578125" style="1080" customWidth="1"/>
    <col min="7439" max="7680" width="8" style="1080"/>
    <col min="7681" max="7681" width="24.42578125" style="1080" customWidth="1"/>
    <col min="7682" max="7682" width="10.140625" style="1080" bestFit="1" customWidth="1"/>
    <col min="7683" max="7683" width="9.5703125" style="1080" bestFit="1" customWidth="1"/>
    <col min="7684" max="7687" width="8.5703125" style="1080" customWidth="1"/>
    <col min="7688" max="7689" width="9.5703125" style="1080" bestFit="1" customWidth="1"/>
    <col min="7690" max="7693" width="8.5703125" style="1080" customWidth="1"/>
    <col min="7694" max="7694" width="3.42578125" style="1080" customWidth="1"/>
    <col min="7695" max="7936" width="8" style="1080"/>
    <col min="7937" max="7937" width="24.42578125" style="1080" customWidth="1"/>
    <col min="7938" max="7938" width="10.140625" style="1080" bestFit="1" customWidth="1"/>
    <col min="7939" max="7939" width="9.5703125" style="1080" bestFit="1" customWidth="1"/>
    <col min="7940" max="7943" width="8.5703125" style="1080" customWidth="1"/>
    <col min="7944" max="7945" width="9.5703125" style="1080" bestFit="1" customWidth="1"/>
    <col min="7946" max="7949" width="8.5703125" style="1080" customWidth="1"/>
    <col min="7950" max="7950" width="3.42578125" style="1080" customWidth="1"/>
    <col min="7951" max="8192" width="8" style="1080"/>
    <col min="8193" max="8193" width="24.42578125" style="1080" customWidth="1"/>
    <col min="8194" max="8194" width="10.140625" style="1080" bestFit="1" customWidth="1"/>
    <col min="8195" max="8195" width="9.5703125" style="1080" bestFit="1" customWidth="1"/>
    <col min="8196" max="8199" width="8.5703125" style="1080" customWidth="1"/>
    <col min="8200" max="8201" width="9.5703125" style="1080" bestFit="1" customWidth="1"/>
    <col min="8202" max="8205" width="8.5703125" style="1080" customWidth="1"/>
    <col min="8206" max="8206" width="3.42578125" style="1080" customWidth="1"/>
    <col min="8207" max="8448" width="8" style="1080"/>
    <col min="8449" max="8449" width="24.42578125" style="1080" customWidth="1"/>
    <col min="8450" max="8450" width="10.140625" style="1080" bestFit="1" customWidth="1"/>
    <col min="8451" max="8451" width="9.5703125" style="1080" bestFit="1" customWidth="1"/>
    <col min="8452" max="8455" width="8.5703125" style="1080" customWidth="1"/>
    <col min="8456" max="8457" width="9.5703125" style="1080" bestFit="1" customWidth="1"/>
    <col min="8458" max="8461" width="8.5703125" style="1080" customWidth="1"/>
    <col min="8462" max="8462" width="3.42578125" style="1080" customWidth="1"/>
    <col min="8463" max="8704" width="8" style="1080"/>
    <col min="8705" max="8705" width="24.42578125" style="1080" customWidth="1"/>
    <col min="8706" max="8706" width="10.140625" style="1080" bestFit="1" customWidth="1"/>
    <col min="8707" max="8707" width="9.5703125" style="1080" bestFit="1" customWidth="1"/>
    <col min="8708" max="8711" width="8.5703125" style="1080" customWidth="1"/>
    <col min="8712" max="8713" width="9.5703125" style="1080" bestFit="1" customWidth="1"/>
    <col min="8714" max="8717" width="8.5703125" style="1080" customWidth="1"/>
    <col min="8718" max="8718" width="3.42578125" style="1080" customWidth="1"/>
    <col min="8719" max="8960" width="8" style="1080"/>
    <col min="8961" max="8961" width="24.42578125" style="1080" customWidth="1"/>
    <col min="8962" max="8962" width="10.140625" style="1080" bestFit="1" customWidth="1"/>
    <col min="8963" max="8963" width="9.5703125" style="1080" bestFit="1" customWidth="1"/>
    <col min="8964" max="8967" width="8.5703125" style="1080" customWidth="1"/>
    <col min="8968" max="8969" width="9.5703125" style="1080" bestFit="1" customWidth="1"/>
    <col min="8970" max="8973" width="8.5703125" style="1080" customWidth="1"/>
    <col min="8974" max="8974" width="3.42578125" style="1080" customWidth="1"/>
    <col min="8975" max="9216" width="8" style="1080"/>
    <col min="9217" max="9217" width="24.42578125" style="1080" customWidth="1"/>
    <col min="9218" max="9218" width="10.140625" style="1080" bestFit="1" customWidth="1"/>
    <col min="9219" max="9219" width="9.5703125" style="1080" bestFit="1" customWidth="1"/>
    <col min="9220" max="9223" width="8.5703125" style="1080" customWidth="1"/>
    <col min="9224" max="9225" width="9.5703125" style="1080" bestFit="1" customWidth="1"/>
    <col min="9226" max="9229" width="8.5703125" style="1080" customWidth="1"/>
    <col min="9230" max="9230" width="3.42578125" style="1080" customWidth="1"/>
    <col min="9231" max="9472" width="8" style="1080"/>
    <col min="9473" max="9473" width="24.42578125" style="1080" customWidth="1"/>
    <col min="9474" max="9474" width="10.140625" style="1080" bestFit="1" customWidth="1"/>
    <col min="9475" max="9475" width="9.5703125" style="1080" bestFit="1" customWidth="1"/>
    <col min="9476" max="9479" width="8.5703125" style="1080" customWidth="1"/>
    <col min="9480" max="9481" width="9.5703125" style="1080" bestFit="1" customWidth="1"/>
    <col min="9482" max="9485" width="8.5703125" style="1080" customWidth="1"/>
    <col min="9486" max="9486" width="3.42578125" style="1080" customWidth="1"/>
    <col min="9487" max="9728" width="8" style="1080"/>
    <col min="9729" max="9729" width="24.42578125" style="1080" customWidth="1"/>
    <col min="9730" max="9730" width="10.140625" style="1080" bestFit="1" customWidth="1"/>
    <col min="9731" max="9731" width="9.5703125" style="1080" bestFit="1" customWidth="1"/>
    <col min="9732" max="9735" width="8.5703125" style="1080" customWidth="1"/>
    <col min="9736" max="9737" width="9.5703125" style="1080" bestFit="1" customWidth="1"/>
    <col min="9738" max="9741" width="8.5703125" style="1080" customWidth="1"/>
    <col min="9742" max="9742" width="3.42578125" style="1080" customWidth="1"/>
    <col min="9743" max="9984" width="8" style="1080"/>
    <col min="9985" max="9985" width="24.42578125" style="1080" customWidth="1"/>
    <col min="9986" max="9986" width="10.140625" style="1080" bestFit="1" customWidth="1"/>
    <col min="9987" max="9987" width="9.5703125" style="1080" bestFit="1" customWidth="1"/>
    <col min="9988" max="9991" width="8.5703125" style="1080" customWidth="1"/>
    <col min="9992" max="9993" width="9.5703125" style="1080" bestFit="1" customWidth="1"/>
    <col min="9994" max="9997" width="8.5703125" style="1080" customWidth="1"/>
    <col min="9998" max="9998" width="3.42578125" style="1080" customWidth="1"/>
    <col min="9999" max="10240" width="8" style="1080"/>
    <col min="10241" max="10241" width="24.42578125" style="1080" customWidth="1"/>
    <col min="10242" max="10242" width="10.140625" style="1080" bestFit="1" customWidth="1"/>
    <col min="10243" max="10243" width="9.5703125" style="1080" bestFit="1" customWidth="1"/>
    <col min="10244" max="10247" width="8.5703125" style="1080" customWidth="1"/>
    <col min="10248" max="10249" width="9.5703125" style="1080" bestFit="1" customWidth="1"/>
    <col min="10250" max="10253" width="8.5703125" style="1080" customWidth="1"/>
    <col min="10254" max="10254" width="3.42578125" style="1080" customWidth="1"/>
    <col min="10255" max="10496" width="8" style="1080"/>
    <col min="10497" max="10497" width="24.42578125" style="1080" customWidth="1"/>
    <col min="10498" max="10498" width="10.140625" style="1080" bestFit="1" customWidth="1"/>
    <col min="10499" max="10499" width="9.5703125" style="1080" bestFit="1" customWidth="1"/>
    <col min="10500" max="10503" width="8.5703125" style="1080" customWidth="1"/>
    <col min="10504" max="10505" width="9.5703125" style="1080" bestFit="1" customWidth="1"/>
    <col min="10506" max="10509" width="8.5703125" style="1080" customWidth="1"/>
    <col min="10510" max="10510" width="3.42578125" style="1080" customWidth="1"/>
    <col min="10511" max="10752" width="8" style="1080"/>
    <col min="10753" max="10753" width="24.42578125" style="1080" customWidth="1"/>
    <col min="10754" max="10754" width="10.140625" style="1080" bestFit="1" customWidth="1"/>
    <col min="10755" max="10755" width="9.5703125" style="1080" bestFit="1" customWidth="1"/>
    <col min="10756" max="10759" width="8.5703125" style="1080" customWidth="1"/>
    <col min="10760" max="10761" width="9.5703125" style="1080" bestFit="1" customWidth="1"/>
    <col min="10762" max="10765" width="8.5703125" style="1080" customWidth="1"/>
    <col min="10766" max="10766" width="3.42578125" style="1080" customWidth="1"/>
    <col min="10767" max="11008" width="8" style="1080"/>
    <col min="11009" max="11009" width="24.42578125" style="1080" customWidth="1"/>
    <col min="11010" max="11010" width="10.140625" style="1080" bestFit="1" customWidth="1"/>
    <col min="11011" max="11011" width="9.5703125" style="1080" bestFit="1" customWidth="1"/>
    <col min="11012" max="11015" width="8.5703125" style="1080" customWidth="1"/>
    <col min="11016" max="11017" width="9.5703125" style="1080" bestFit="1" customWidth="1"/>
    <col min="11018" max="11021" width="8.5703125" style="1080" customWidth="1"/>
    <col min="11022" max="11022" width="3.42578125" style="1080" customWidth="1"/>
    <col min="11023" max="11264" width="8" style="1080"/>
    <col min="11265" max="11265" width="24.42578125" style="1080" customWidth="1"/>
    <col min="11266" max="11266" width="10.140625" style="1080" bestFit="1" customWidth="1"/>
    <col min="11267" max="11267" width="9.5703125" style="1080" bestFit="1" customWidth="1"/>
    <col min="11268" max="11271" width="8.5703125" style="1080" customWidth="1"/>
    <col min="11272" max="11273" width="9.5703125" style="1080" bestFit="1" customWidth="1"/>
    <col min="11274" max="11277" width="8.5703125" style="1080" customWidth="1"/>
    <col min="11278" max="11278" width="3.42578125" style="1080" customWidth="1"/>
    <col min="11279" max="11520" width="8" style="1080"/>
    <col min="11521" max="11521" width="24.42578125" style="1080" customWidth="1"/>
    <col min="11522" max="11522" width="10.140625" style="1080" bestFit="1" customWidth="1"/>
    <col min="11523" max="11523" width="9.5703125" style="1080" bestFit="1" customWidth="1"/>
    <col min="11524" max="11527" width="8.5703125" style="1080" customWidth="1"/>
    <col min="11528" max="11529" width="9.5703125" style="1080" bestFit="1" customWidth="1"/>
    <col min="11530" max="11533" width="8.5703125" style="1080" customWidth="1"/>
    <col min="11534" max="11534" width="3.42578125" style="1080" customWidth="1"/>
    <col min="11535" max="11776" width="8" style="1080"/>
    <col min="11777" max="11777" width="24.42578125" style="1080" customWidth="1"/>
    <col min="11778" max="11778" width="10.140625" style="1080" bestFit="1" customWidth="1"/>
    <col min="11779" max="11779" width="9.5703125" style="1080" bestFit="1" customWidth="1"/>
    <col min="11780" max="11783" width="8.5703125" style="1080" customWidth="1"/>
    <col min="11784" max="11785" width="9.5703125" style="1080" bestFit="1" customWidth="1"/>
    <col min="11786" max="11789" width="8.5703125" style="1080" customWidth="1"/>
    <col min="11790" max="11790" width="3.42578125" style="1080" customWidth="1"/>
    <col min="11791" max="12032" width="8" style="1080"/>
    <col min="12033" max="12033" width="24.42578125" style="1080" customWidth="1"/>
    <col min="12034" max="12034" width="10.140625" style="1080" bestFit="1" customWidth="1"/>
    <col min="12035" max="12035" width="9.5703125" style="1080" bestFit="1" customWidth="1"/>
    <col min="12036" max="12039" width="8.5703125" style="1080" customWidth="1"/>
    <col min="12040" max="12041" width="9.5703125" style="1080" bestFit="1" customWidth="1"/>
    <col min="12042" max="12045" width="8.5703125" style="1080" customWidth="1"/>
    <col min="12046" max="12046" width="3.42578125" style="1080" customWidth="1"/>
    <col min="12047" max="12288" width="8" style="1080"/>
    <col min="12289" max="12289" width="24.42578125" style="1080" customWidth="1"/>
    <col min="12290" max="12290" width="10.140625" style="1080" bestFit="1" customWidth="1"/>
    <col min="12291" max="12291" width="9.5703125" style="1080" bestFit="1" customWidth="1"/>
    <col min="12292" max="12295" width="8.5703125" style="1080" customWidth="1"/>
    <col min="12296" max="12297" width="9.5703125" style="1080" bestFit="1" customWidth="1"/>
    <col min="12298" max="12301" width="8.5703125" style="1080" customWidth="1"/>
    <col min="12302" max="12302" width="3.42578125" style="1080" customWidth="1"/>
    <col min="12303" max="12544" width="8" style="1080"/>
    <col min="12545" max="12545" width="24.42578125" style="1080" customWidth="1"/>
    <col min="12546" max="12546" width="10.140625" style="1080" bestFit="1" customWidth="1"/>
    <col min="12547" max="12547" width="9.5703125" style="1080" bestFit="1" customWidth="1"/>
    <col min="12548" max="12551" width="8.5703125" style="1080" customWidth="1"/>
    <col min="12552" max="12553" width="9.5703125" style="1080" bestFit="1" customWidth="1"/>
    <col min="12554" max="12557" width="8.5703125" style="1080" customWidth="1"/>
    <col min="12558" max="12558" width="3.42578125" style="1080" customWidth="1"/>
    <col min="12559" max="12800" width="8" style="1080"/>
    <col min="12801" max="12801" width="24.42578125" style="1080" customWidth="1"/>
    <col min="12802" max="12802" width="10.140625" style="1080" bestFit="1" customWidth="1"/>
    <col min="12803" max="12803" width="9.5703125" style="1080" bestFit="1" customWidth="1"/>
    <col min="12804" max="12807" width="8.5703125" style="1080" customWidth="1"/>
    <col min="12808" max="12809" width="9.5703125" style="1080" bestFit="1" customWidth="1"/>
    <col min="12810" max="12813" width="8.5703125" style="1080" customWidth="1"/>
    <col min="12814" max="12814" width="3.42578125" style="1080" customWidth="1"/>
    <col min="12815" max="13056" width="8" style="1080"/>
    <col min="13057" max="13057" width="24.42578125" style="1080" customWidth="1"/>
    <col min="13058" max="13058" width="10.140625" style="1080" bestFit="1" customWidth="1"/>
    <col min="13059" max="13059" width="9.5703125" style="1080" bestFit="1" customWidth="1"/>
    <col min="13060" max="13063" width="8.5703125" style="1080" customWidth="1"/>
    <col min="13064" max="13065" width="9.5703125" style="1080" bestFit="1" customWidth="1"/>
    <col min="13066" max="13069" width="8.5703125" style="1080" customWidth="1"/>
    <col min="13070" max="13070" width="3.42578125" style="1080" customWidth="1"/>
    <col min="13071" max="13312" width="8" style="1080"/>
    <col min="13313" max="13313" width="24.42578125" style="1080" customWidth="1"/>
    <col min="13314" max="13314" width="10.140625" style="1080" bestFit="1" customWidth="1"/>
    <col min="13315" max="13315" width="9.5703125" style="1080" bestFit="1" customWidth="1"/>
    <col min="13316" max="13319" width="8.5703125" style="1080" customWidth="1"/>
    <col min="13320" max="13321" width="9.5703125" style="1080" bestFit="1" customWidth="1"/>
    <col min="13322" max="13325" width="8.5703125" style="1080" customWidth="1"/>
    <col min="13326" max="13326" width="3.42578125" style="1080" customWidth="1"/>
    <col min="13327" max="13568" width="8" style="1080"/>
    <col min="13569" max="13569" width="24.42578125" style="1080" customWidth="1"/>
    <col min="13570" max="13570" width="10.140625" style="1080" bestFit="1" customWidth="1"/>
    <col min="13571" max="13571" width="9.5703125" style="1080" bestFit="1" customWidth="1"/>
    <col min="13572" max="13575" width="8.5703125" style="1080" customWidth="1"/>
    <col min="13576" max="13577" width="9.5703125" style="1080" bestFit="1" customWidth="1"/>
    <col min="13578" max="13581" width="8.5703125" style="1080" customWidth="1"/>
    <col min="13582" max="13582" width="3.42578125" style="1080" customWidth="1"/>
    <col min="13583" max="13824" width="8" style="1080"/>
    <col min="13825" max="13825" width="24.42578125" style="1080" customWidth="1"/>
    <col min="13826" max="13826" width="10.140625" style="1080" bestFit="1" customWidth="1"/>
    <col min="13827" max="13827" width="9.5703125" style="1080" bestFit="1" customWidth="1"/>
    <col min="13828" max="13831" width="8.5703125" style="1080" customWidth="1"/>
    <col min="13832" max="13833" width="9.5703125" style="1080" bestFit="1" customWidth="1"/>
    <col min="13834" max="13837" width="8.5703125" style="1080" customWidth="1"/>
    <col min="13838" max="13838" width="3.42578125" style="1080" customWidth="1"/>
    <col min="13839" max="14080" width="8" style="1080"/>
    <col min="14081" max="14081" width="24.42578125" style="1080" customWidth="1"/>
    <col min="14082" max="14082" width="10.140625" style="1080" bestFit="1" customWidth="1"/>
    <col min="14083" max="14083" width="9.5703125" style="1080" bestFit="1" customWidth="1"/>
    <col min="14084" max="14087" width="8.5703125" style="1080" customWidth="1"/>
    <col min="14088" max="14089" width="9.5703125" style="1080" bestFit="1" customWidth="1"/>
    <col min="14090" max="14093" width="8.5703125" style="1080" customWidth="1"/>
    <col min="14094" max="14094" width="3.42578125" style="1080" customWidth="1"/>
    <col min="14095" max="14336" width="8" style="1080"/>
    <col min="14337" max="14337" width="24.42578125" style="1080" customWidth="1"/>
    <col min="14338" max="14338" width="10.140625" style="1080" bestFit="1" customWidth="1"/>
    <col min="14339" max="14339" width="9.5703125" style="1080" bestFit="1" customWidth="1"/>
    <col min="14340" max="14343" width="8.5703125" style="1080" customWidth="1"/>
    <col min="14344" max="14345" width="9.5703125" style="1080" bestFit="1" customWidth="1"/>
    <col min="14346" max="14349" width="8.5703125" style="1080" customWidth="1"/>
    <col min="14350" max="14350" width="3.42578125" style="1080" customWidth="1"/>
    <col min="14351" max="14592" width="8" style="1080"/>
    <col min="14593" max="14593" width="24.42578125" style="1080" customWidth="1"/>
    <col min="14594" max="14594" width="10.140625" style="1080" bestFit="1" customWidth="1"/>
    <col min="14595" max="14595" width="9.5703125" style="1080" bestFit="1" customWidth="1"/>
    <col min="14596" max="14599" width="8.5703125" style="1080" customWidth="1"/>
    <col min="14600" max="14601" width="9.5703125" style="1080" bestFit="1" customWidth="1"/>
    <col min="14602" max="14605" width="8.5703125" style="1080" customWidth="1"/>
    <col min="14606" max="14606" width="3.42578125" style="1080" customWidth="1"/>
    <col min="14607" max="14848" width="8" style="1080"/>
    <col min="14849" max="14849" width="24.42578125" style="1080" customWidth="1"/>
    <col min="14850" max="14850" width="10.140625" style="1080" bestFit="1" customWidth="1"/>
    <col min="14851" max="14851" width="9.5703125" style="1080" bestFit="1" customWidth="1"/>
    <col min="14852" max="14855" width="8.5703125" style="1080" customWidth="1"/>
    <col min="14856" max="14857" width="9.5703125" style="1080" bestFit="1" customWidth="1"/>
    <col min="14858" max="14861" width="8.5703125" style="1080" customWidth="1"/>
    <col min="14862" max="14862" width="3.42578125" style="1080" customWidth="1"/>
    <col min="14863" max="15104" width="8" style="1080"/>
    <col min="15105" max="15105" width="24.42578125" style="1080" customWidth="1"/>
    <col min="15106" max="15106" width="10.140625" style="1080" bestFit="1" customWidth="1"/>
    <col min="15107" max="15107" width="9.5703125" style="1080" bestFit="1" customWidth="1"/>
    <col min="15108" max="15111" width="8.5703125" style="1080" customWidth="1"/>
    <col min="15112" max="15113" width="9.5703125" style="1080" bestFit="1" customWidth="1"/>
    <col min="15114" max="15117" width="8.5703125" style="1080" customWidth="1"/>
    <col min="15118" max="15118" width="3.42578125" style="1080" customWidth="1"/>
    <col min="15119" max="15360" width="8" style="1080"/>
    <col min="15361" max="15361" width="24.42578125" style="1080" customWidth="1"/>
    <col min="15362" max="15362" width="10.140625" style="1080" bestFit="1" customWidth="1"/>
    <col min="15363" max="15363" width="9.5703125" style="1080" bestFit="1" customWidth="1"/>
    <col min="15364" max="15367" width="8.5703125" style="1080" customWidth="1"/>
    <col min="15368" max="15369" width="9.5703125" style="1080" bestFit="1" customWidth="1"/>
    <col min="15370" max="15373" width="8.5703125" style="1080" customWidth="1"/>
    <col min="15374" max="15374" width="3.42578125" style="1080" customWidth="1"/>
    <col min="15375" max="15616" width="8" style="1080"/>
    <col min="15617" max="15617" width="24.42578125" style="1080" customWidth="1"/>
    <col min="15618" max="15618" width="10.140625" style="1080" bestFit="1" customWidth="1"/>
    <col min="15619" max="15619" width="9.5703125" style="1080" bestFit="1" customWidth="1"/>
    <col min="15620" max="15623" width="8.5703125" style="1080" customWidth="1"/>
    <col min="15624" max="15625" width="9.5703125" style="1080" bestFit="1" customWidth="1"/>
    <col min="15626" max="15629" width="8.5703125" style="1080" customWidth="1"/>
    <col min="15630" max="15630" width="3.42578125" style="1080" customWidth="1"/>
    <col min="15631" max="15872" width="8" style="1080"/>
    <col min="15873" max="15873" width="24.42578125" style="1080" customWidth="1"/>
    <col min="15874" max="15874" width="10.140625" style="1080" bestFit="1" customWidth="1"/>
    <col min="15875" max="15875" width="9.5703125" style="1080" bestFit="1" customWidth="1"/>
    <col min="15876" max="15879" width="8.5703125" style="1080" customWidth="1"/>
    <col min="15880" max="15881" width="9.5703125" style="1080" bestFit="1" customWidth="1"/>
    <col min="15882" max="15885" width="8.5703125" style="1080" customWidth="1"/>
    <col min="15886" max="15886" width="3.42578125" style="1080" customWidth="1"/>
    <col min="15887" max="16128" width="8" style="1080"/>
    <col min="16129" max="16129" width="24.42578125" style="1080" customWidth="1"/>
    <col min="16130" max="16130" width="10.140625" style="1080" bestFit="1" customWidth="1"/>
    <col min="16131" max="16131" width="9.5703125" style="1080" bestFit="1" customWidth="1"/>
    <col min="16132" max="16135" width="8.5703125" style="1080" customWidth="1"/>
    <col min="16136" max="16137" width="9.5703125" style="1080" bestFit="1" customWidth="1"/>
    <col min="16138" max="16141" width="8.5703125" style="1080" customWidth="1"/>
    <col min="16142" max="16142" width="3.42578125" style="1080" customWidth="1"/>
    <col min="16143" max="16384" width="8" style="1080"/>
  </cols>
  <sheetData>
    <row r="1" spans="1:14" ht="39.75" customHeight="1" x14ac:dyDescent="0.2">
      <c r="A1" s="1167" t="s">
        <v>782</v>
      </c>
      <c r="B1" s="1167"/>
      <c r="C1" s="1167"/>
      <c r="D1" s="1168" t="s">
        <v>786</v>
      </c>
      <c r="E1" s="1169"/>
      <c r="F1" s="1169"/>
      <c r="G1" s="1169"/>
      <c r="H1" s="1169"/>
      <c r="I1" s="1169"/>
      <c r="J1" s="1169"/>
      <c r="K1" s="1169"/>
      <c r="L1" s="1169"/>
      <c r="M1" s="1169"/>
      <c r="N1" s="1170" t="s">
        <v>826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13.5" thickBot="1" x14ac:dyDescent="0.25">
      <c r="A5" s="1174"/>
      <c r="B5" s="1179"/>
      <c r="C5" s="1180"/>
      <c r="D5" s="1081" t="s">
        <v>222</v>
      </c>
      <c r="E5" s="1081" t="s">
        <v>223</v>
      </c>
      <c r="F5" s="1081" t="s">
        <v>222</v>
      </c>
      <c r="G5" s="1081" t="s">
        <v>223</v>
      </c>
      <c r="H5" s="1081" t="s">
        <v>222</v>
      </c>
      <c r="I5" s="1081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1082" t="str">
        <f>+D6</f>
        <v>2018. előtt</v>
      </c>
      <c r="K6" s="1081" t="str">
        <f>+F6</f>
        <v>2018. évi</v>
      </c>
      <c r="L6" s="1082" t="s">
        <v>248</v>
      </c>
      <c r="M6" s="1081" t="s">
        <v>804</v>
      </c>
      <c r="N6" s="1170"/>
    </row>
    <row r="7" spans="1:14" ht="13.5" thickBot="1" x14ac:dyDescent="0.25">
      <c r="A7" s="1083" t="s">
        <v>446</v>
      </c>
      <c r="B7" s="1082" t="s">
        <v>447</v>
      </c>
      <c r="C7" s="1082" t="s">
        <v>448</v>
      </c>
      <c r="D7" s="1084" t="s">
        <v>449</v>
      </c>
      <c r="E7" s="1081" t="s">
        <v>450</v>
      </c>
      <c r="F7" s="1081" t="s">
        <v>635</v>
      </c>
      <c r="G7" s="1081" t="s">
        <v>636</v>
      </c>
      <c r="H7" s="1082" t="s">
        <v>637</v>
      </c>
      <c r="I7" s="1084" t="s">
        <v>638</v>
      </c>
      <c r="J7" s="1084" t="s">
        <v>670</v>
      </c>
      <c r="K7" s="1084" t="s">
        <v>671</v>
      </c>
      <c r="L7" s="1084" t="s">
        <v>672</v>
      </c>
      <c r="M7" s="1085" t="s">
        <v>673</v>
      </c>
      <c r="N7" s="1170"/>
    </row>
    <row r="8" spans="1:14" x14ac:dyDescent="0.2">
      <c r="A8" s="1086" t="s">
        <v>203</v>
      </c>
      <c r="B8" s="1087"/>
      <c r="C8" s="1088"/>
      <c r="D8" s="1088"/>
      <c r="E8" s="1089"/>
      <c r="F8" s="1088"/>
      <c r="G8" s="1088"/>
      <c r="H8" s="1088"/>
      <c r="I8" s="1088"/>
      <c r="J8" s="1088"/>
      <c r="K8" s="1088"/>
      <c r="L8" s="1090">
        <f t="shared" ref="L8:L14" si="0">+J8+K8</f>
        <v>0</v>
      </c>
      <c r="M8" s="1091" t="str">
        <f t="shared" ref="M8:M15" si="1">IF((C8&lt;&gt;0),ROUND((L8/C8)*100,1),"")</f>
        <v/>
      </c>
      <c r="N8" s="1170"/>
    </row>
    <row r="9" spans="1:14" x14ac:dyDescent="0.2">
      <c r="A9" s="1092" t="s">
        <v>206</v>
      </c>
      <c r="B9" s="1093"/>
      <c r="C9" s="1094"/>
      <c r="D9" s="1094"/>
      <c r="E9" s="1094"/>
      <c r="F9" s="1094"/>
      <c r="G9" s="1094"/>
      <c r="H9" s="1094"/>
      <c r="I9" s="1094"/>
      <c r="J9" s="1094"/>
      <c r="K9" s="1094"/>
      <c r="L9" s="1095">
        <f t="shared" si="0"/>
        <v>0</v>
      </c>
      <c r="M9" s="1096" t="str">
        <f t="shared" si="1"/>
        <v/>
      </c>
      <c r="N9" s="1170"/>
    </row>
    <row r="10" spans="1:14" x14ac:dyDescent="0.2">
      <c r="A10" s="1097" t="s">
        <v>207</v>
      </c>
      <c r="B10" s="1098">
        <v>199720812</v>
      </c>
      <c r="C10" s="1099">
        <v>199720812</v>
      </c>
      <c r="D10" s="1099">
        <v>193854682</v>
      </c>
      <c r="E10" s="1099">
        <v>193854682</v>
      </c>
      <c r="F10" s="1099">
        <v>5866130</v>
      </c>
      <c r="G10" s="1099">
        <v>2703252</v>
      </c>
      <c r="H10" s="1099">
        <v>0</v>
      </c>
      <c r="I10" s="1099">
        <v>3162878</v>
      </c>
      <c r="J10" s="1099">
        <v>193854682</v>
      </c>
      <c r="K10" s="1099">
        <v>3104638</v>
      </c>
      <c r="L10" s="1095">
        <f>SUM(J10:K10)</f>
        <v>196959320</v>
      </c>
      <c r="M10" s="1096">
        <f t="shared" si="1"/>
        <v>98.6</v>
      </c>
      <c r="N10" s="1170"/>
    </row>
    <row r="11" spans="1:14" x14ac:dyDescent="0.2">
      <c r="A11" s="1097" t="s">
        <v>208</v>
      </c>
      <c r="B11" s="1098"/>
      <c r="C11" s="1099"/>
      <c r="D11" s="1099"/>
      <c r="E11" s="1099"/>
      <c r="F11" s="1099"/>
      <c r="G11" s="1099"/>
      <c r="H11" s="1099"/>
      <c r="I11" s="1099"/>
      <c r="J11" s="1099"/>
      <c r="K11" s="1099"/>
      <c r="L11" s="1095"/>
      <c r="M11" s="1096" t="str">
        <f t="shared" si="1"/>
        <v/>
      </c>
      <c r="N11" s="1170"/>
    </row>
    <row r="12" spans="1:14" x14ac:dyDescent="0.2">
      <c r="A12" s="1097" t="s">
        <v>209</v>
      </c>
      <c r="B12" s="1098"/>
      <c r="C12" s="1099"/>
      <c r="D12" s="1099"/>
      <c r="E12" s="1099"/>
      <c r="F12" s="1099"/>
      <c r="G12" s="1099"/>
      <c r="H12" s="1099"/>
      <c r="I12" s="1099"/>
      <c r="J12" s="1099"/>
      <c r="K12" s="1099"/>
      <c r="L12" s="1095">
        <f t="shared" si="0"/>
        <v>0</v>
      </c>
      <c r="M12" s="1096" t="str">
        <f t="shared" si="1"/>
        <v/>
      </c>
      <c r="N12" s="1170"/>
    </row>
    <row r="13" spans="1:14" x14ac:dyDescent="0.2">
      <c r="A13" s="1097" t="s">
        <v>210</v>
      </c>
      <c r="B13" s="1098"/>
      <c r="C13" s="1099"/>
      <c r="D13" s="1099"/>
      <c r="E13" s="1099"/>
      <c r="F13" s="1099"/>
      <c r="G13" s="1099"/>
      <c r="H13" s="1099"/>
      <c r="I13" s="1099"/>
      <c r="J13" s="1099"/>
      <c r="K13" s="1099"/>
      <c r="L13" s="1095">
        <f t="shared" si="0"/>
        <v>0</v>
      </c>
      <c r="M13" s="1096" t="str">
        <f t="shared" si="1"/>
        <v/>
      </c>
      <c r="N13" s="1170"/>
    </row>
    <row r="14" spans="1:14" ht="15" customHeight="1" thickBot="1" x14ac:dyDescent="0.25">
      <c r="A14" s="1100"/>
      <c r="B14" s="1101"/>
      <c r="C14" s="1102"/>
      <c r="D14" s="1102"/>
      <c r="E14" s="1102"/>
      <c r="F14" s="1102"/>
      <c r="G14" s="1102"/>
      <c r="H14" s="1102"/>
      <c r="I14" s="1102"/>
      <c r="J14" s="1102"/>
      <c r="K14" s="1102"/>
      <c r="L14" s="1095">
        <f t="shared" si="0"/>
        <v>0</v>
      </c>
      <c r="M14" s="1103" t="str">
        <f t="shared" si="1"/>
        <v/>
      </c>
      <c r="N14" s="1170"/>
    </row>
    <row r="15" spans="1:14" ht="13.5" thickBot="1" x14ac:dyDescent="0.25">
      <c r="A15" s="1104" t="s">
        <v>211</v>
      </c>
      <c r="B15" s="1105">
        <f t="shared" ref="B15:L15" si="2">B8+SUM(B10:B14)</f>
        <v>199720812</v>
      </c>
      <c r="C15" s="1105">
        <f t="shared" si="2"/>
        <v>199720812</v>
      </c>
      <c r="D15" s="1105">
        <f t="shared" si="2"/>
        <v>193854682</v>
      </c>
      <c r="E15" s="1105">
        <f t="shared" si="2"/>
        <v>193854682</v>
      </c>
      <c r="F15" s="1105">
        <f t="shared" si="2"/>
        <v>5866130</v>
      </c>
      <c r="G15" s="1105">
        <f t="shared" si="2"/>
        <v>2703252</v>
      </c>
      <c r="H15" s="1105">
        <f t="shared" si="2"/>
        <v>0</v>
      </c>
      <c r="I15" s="1105">
        <f t="shared" si="2"/>
        <v>3162878</v>
      </c>
      <c r="J15" s="1105">
        <f t="shared" si="2"/>
        <v>193854682</v>
      </c>
      <c r="K15" s="1105">
        <f t="shared" si="2"/>
        <v>3104638</v>
      </c>
      <c r="L15" s="1105">
        <f t="shared" si="2"/>
        <v>196959320</v>
      </c>
      <c r="M15" s="1106">
        <f t="shared" si="1"/>
        <v>98.6</v>
      </c>
      <c r="N15" s="1170"/>
    </row>
    <row r="16" spans="1:14" x14ac:dyDescent="0.2">
      <c r="A16" s="1107"/>
      <c r="B16" s="1108"/>
      <c r="C16" s="1109"/>
      <c r="D16" s="1109"/>
      <c r="E16" s="1109"/>
      <c r="F16" s="1109"/>
      <c r="G16" s="1109"/>
      <c r="H16" s="1109"/>
      <c r="I16" s="1109"/>
      <c r="J16" s="1109"/>
      <c r="K16" s="1109"/>
      <c r="L16" s="1109"/>
      <c r="M16" s="1109"/>
      <c r="N16" s="1170"/>
    </row>
    <row r="17" spans="1:14" ht="13.5" thickBot="1" x14ac:dyDescent="0.25">
      <c r="A17" s="1110" t="s">
        <v>212</v>
      </c>
      <c r="B17" s="1111"/>
      <c r="C17" s="1112"/>
      <c r="D17" s="1112"/>
      <c r="E17" s="1112"/>
      <c r="F17" s="1112"/>
      <c r="G17" s="1112"/>
      <c r="H17" s="1112"/>
      <c r="I17" s="1112"/>
      <c r="J17" s="1112"/>
      <c r="K17" s="1112"/>
      <c r="L17" s="1112"/>
      <c r="M17" s="1112"/>
      <c r="N17" s="1170"/>
    </row>
    <row r="18" spans="1:14" x14ac:dyDescent="0.2">
      <c r="A18" s="1113" t="s">
        <v>213</v>
      </c>
      <c r="B18" s="1087">
        <v>4286250</v>
      </c>
      <c r="C18" s="1088">
        <v>4286250</v>
      </c>
      <c r="D18" s="1088"/>
      <c r="E18" s="1089">
        <v>989136</v>
      </c>
      <c r="F18" s="1088">
        <v>4286250</v>
      </c>
      <c r="G18" s="1088">
        <v>3297114</v>
      </c>
      <c r="H18" s="1088"/>
      <c r="I18" s="1088"/>
      <c r="J18" s="1088">
        <v>989136</v>
      </c>
      <c r="K18" s="1088">
        <v>3297114</v>
      </c>
      <c r="L18" s="1114">
        <v>4286250</v>
      </c>
      <c r="M18" s="1091">
        <f t="shared" ref="M18:M24" si="3">IF((C18&lt;&gt;0),ROUND((L18/C18)*100,1),"")</f>
        <v>100</v>
      </c>
      <c r="N18" s="1170"/>
    </row>
    <row r="19" spans="1:14" x14ac:dyDescent="0.2">
      <c r="A19" s="1115" t="s">
        <v>214</v>
      </c>
      <c r="B19" s="1093">
        <v>182900612</v>
      </c>
      <c r="C19" s="1099">
        <v>182900612</v>
      </c>
      <c r="D19" s="1099"/>
      <c r="E19" s="1099"/>
      <c r="F19" s="1099">
        <v>182900612</v>
      </c>
      <c r="G19" s="1099">
        <v>182900612</v>
      </c>
      <c r="H19" s="1099"/>
      <c r="I19" s="1099"/>
      <c r="J19" s="1099"/>
      <c r="K19" s="1099">
        <v>182429446</v>
      </c>
      <c r="L19" s="1116">
        <v>182429446</v>
      </c>
      <c r="M19" s="1096">
        <f t="shared" si="3"/>
        <v>99.7</v>
      </c>
      <c r="N19" s="1170"/>
    </row>
    <row r="20" spans="1:14" x14ac:dyDescent="0.2">
      <c r="A20" s="1115" t="s">
        <v>215</v>
      </c>
      <c r="B20" s="1098">
        <v>12533950</v>
      </c>
      <c r="C20" s="1099">
        <v>12533950</v>
      </c>
      <c r="D20" s="1099">
        <v>1216660</v>
      </c>
      <c r="E20" s="1099">
        <v>1216660</v>
      </c>
      <c r="F20" s="1099">
        <v>11317290</v>
      </c>
      <c r="G20" s="1099">
        <v>11317290</v>
      </c>
      <c r="H20" s="1099"/>
      <c r="I20" s="1099"/>
      <c r="J20" s="1099"/>
      <c r="K20" s="1099">
        <v>12495200</v>
      </c>
      <c r="L20" s="1116">
        <v>12495200</v>
      </c>
      <c r="M20" s="1096">
        <f t="shared" si="3"/>
        <v>99.7</v>
      </c>
      <c r="N20" s="1170"/>
    </row>
    <row r="21" spans="1:14" x14ac:dyDescent="0.2">
      <c r="A21" s="1115" t="s">
        <v>216</v>
      </c>
      <c r="B21" s="1098"/>
      <c r="C21" s="1099"/>
      <c r="D21" s="1099"/>
      <c r="E21" s="1099"/>
      <c r="F21" s="1099"/>
      <c r="G21" s="1099"/>
      <c r="H21" s="1099"/>
      <c r="I21" s="1099"/>
      <c r="J21" s="1099"/>
      <c r="K21" s="1099"/>
      <c r="L21" s="1116"/>
      <c r="M21" s="1096" t="str">
        <f t="shared" si="3"/>
        <v/>
      </c>
      <c r="N21" s="1170"/>
    </row>
    <row r="22" spans="1:14" x14ac:dyDescent="0.2">
      <c r="A22" s="1117"/>
      <c r="B22" s="1098"/>
      <c r="C22" s="1099"/>
      <c r="D22" s="1099"/>
      <c r="E22" s="1099"/>
      <c r="F22" s="1099"/>
      <c r="G22" s="1099"/>
      <c r="H22" s="1099"/>
      <c r="I22" s="1099"/>
      <c r="J22" s="1099"/>
      <c r="K22" s="1099"/>
      <c r="L22" s="1116">
        <f t="shared" ref="L22:L23" si="4">+J22+K22</f>
        <v>0</v>
      </c>
      <c r="M22" s="1096" t="str">
        <f t="shared" si="3"/>
        <v/>
      </c>
      <c r="N22" s="1170"/>
    </row>
    <row r="23" spans="1:14" ht="13.5" thickBot="1" x14ac:dyDescent="0.25">
      <c r="A23" s="1118"/>
      <c r="B23" s="1101"/>
      <c r="C23" s="1102"/>
      <c r="D23" s="1102"/>
      <c r="E23" s="1102"/>
      <c r="F23" s="1102"/>
      <c r="G23" s="1102"/>
      <c r="H23" s="1102"/>
      <c r="I23" s="1102"/>
      <c r="J23" s="1102"/>
      <c r="K23" s="1102"/>
      <c r="L23" s="1116">
        <f t="shared" si="4"/>
        <v>0</v>
      </c>
      <c r="M23" s="1103" t="str">
        <f t="shared" si="3"/>
        <v/>
      </c>
      <c r="N23" s="1170"/>
    </row>
    <row r="24" spans="1:14" ht="13.5" thickBot="1" x14ac:dyDescent="0.25">
      <c r="A24" s="1119" t="s">
        <v>218</v>
      </c>
      <c r="B24" s="1105">
        <f t="shared" ref="B24:L24" si="5">SUM(B18:B23)</f>
        <v>199720812</v>
      </c>
      <c r="C24" s="1105">
        <f t="shared" si="5"/>
        <v>199720812</v>
      </c>
      <c r="D24" s="1105">
        <f t="shared" si="5"/>
        <v>1216660</v>
      </c>
      <c r="E24" s="1105">
        <f t="shared" si="5"/>
        <v>2205796</v>
      </c>
      <c r="F24" s="1105">
        <f t="shared" si="5"/>
        <v>198504152</v>
      </c>
      <c r="G24" s="1105">
        <f t="shared" si="5"/>
        <v>197515016</v>
      </c>
      <c r="H24" s="1105">
        <f t="shared" si="5"/>
        <v>0</v>
      </c>
      <c r="I24" s="1105">
        <f t="shared" si="5"/>
        <v>0</v>
      </c>
      <c r="J24" s="1105">
        <f t="shared" si="5"/>
        <v>989136</v>
      </c>
      <c r="K24" s="1105">
        <f t="shared" si="5"/>
        <v>198221760</v>
      </c>
      <c r="L24" s="1105">
        <f t="shared" si="5"/>
        <v>199210896</v>
      </c>
      <c r="M24" s="1106">
        <f t="shared" si="3"/>
        <v>99.7</v>
      </c>
      <c r="N24" s="1170"/>
    </row>
    <row r="25" spans="1:14" x14ac:dyDescent="0.2">
      <c r="A25" s="1186" t="s">
        <v>674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1120"/>
      <c r="B26" s="1120"/>
      <c r="C26" s="1120"/>
      <c r="D26" s="1120"/>
      <c r="E26" s="1120"/>
      <c r="F26" s="1120"/>
      <c r="G26" s="1120"/>
      <c r="H26" s="1120"/>
      <c r="I26" s="1120"/>
      <c r="J26" s="1120"/>
      <c r="K26" s="1120"/>
      <c r="L26" s="1120"/>
      <c r="M26" s="1120"/>
      <c r="N26" s="1170"/>
    </row>
    <row r="27" spans="1:14" ht="15.75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1121"/>
      <c r="B28" s="1121"/>
      <c r="C28" s="1121"/>
      <c r="D28" s="1121"/>
      <c r="E28" s="1121"/>
      <c r="F28" s="1121"/>
      <c r="G28" s="1121"/>
      <c r="H28" s="1121"/>
      <c r="I28" s="1121"/>
      <c r="J28" s="1121"/>
      <c r="K28" s="1121"/>
      <c r="L28" s="1172" t="s">
        <v>489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122" t="s">
        <v>675</v>
      </c>
      <c r="L29" s="1122" t="s">
        <v>676</v>
      </c>
      <c r="M29" s="1122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1089"/>
      <c r="L30" s="1123"/>
      <c r="M30" s="1123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124"/>
      <c r="L31" s="1102"/>
      <c r="M31" s="110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125">
        <f>SUM(K30:K31)</f>
        <v>0</v>
      </c>
      <c r="L32" s="1125">
        <f>SUM(L30:L31)</f>
        <v>0</v>
      </c>
      <c r="M32" s="1125">
        <f>SUM(M30:M31)</f>
        <v>0</v>
      </c>
      <c r="N32" s="1170"/>
    </row>
    <row r="33" spans="1:14" x14ac:dyDescent="0.2">
      <c r="N33" s="1126"/>
    </row>
    <row r="48" spans="1:14" x14ac:dyDescent="0.2">
      <c r="A48" s="1127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2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001" customWidth="1"/>
    <col min="2" max="2" width="10.140625" style="1001" bestFit="1" customWidth="1"/>
    <col min="3" max="5" width="9.5703125" style="1001" bestFit="1" customWidth="1"/>
    <col min="6" max="7" width="8.5703125" style="1001" customWidth="1"/>
    <col min="8" max="10" width="9.5703125" style="1001" bestFit="1" customWidth="1"/>
    <col min="11" max="11" width="8.5703125" style="1001" customWidth="1"/>
    <col min="12" max="12" width="9.5703125" style="1001" bestFit="1" customWidth="1"/>
    <col min="13" max="13" width="8.5703125" style="1073" customWidth="1"/>
    <col min="14" max="14" width="3.42578125" style="1001" customWidth="1"/>
    <col min="15" max="16384" width="8" style="1001"/>
  </cols>
  <sheetData>
    <row r="1" spans="1:14" ht="59.45" customHeight="1" x14ac:dyDescent="0.2">
      <c r="A1" s="1167" t="s">
        <v>782</v>
      </c>
      <c r="B1" s="1167"/>
      <c r="C1" s="1167"/>
      <c r="D1" s="1168" t="s">
        <v>787</v>
      </c>
      <c r="E1" s="1169"/>
      <c r="F1" s="1169"/>
      <c r="G1" s="1169"/>
      <c r="H1" s="1169"/>
      <c r="I1" s="1169"/>
      <c r="J1" s="1169"/>
      <c r="K1" s="1169"/>
      <c r="L1" s="1169"/>
      <c r="M1" s="1169"/>
      <c r="N1" s="1170" t="s">
        <v>827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customHeight="1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21.75" thickBot="1" x14ac:dyDescent="0.25">
      <c r="A5" s="1174"/>
      <c r="B5" s="1179"/>
      <c r="C5" s="1180"/>
      <c r="D5" s="920" t="s">
        <v>222</v>
      </c>
      <c r="E5" s="920" t="s">
        <v>223</v>
      </c>
      <c r="F5" s="920" t="s">
        <v>222</v>
      </c>
      <c r="G5" s="920" t="s">
        <v>223</v>
      </c>
      <c r="H5" s="920" t="s">
        <v>222</v>
      </c>
      <c r="I5" s="920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921" t="s">
        <v>802</v>
      </c>
      <c r="K6" s="920" t="s">
        <v>793</v>
      </c>
      <c r="L6" s="921" t="s">
        <v>248</v>
      </c>
      <c r="M6" s="1066" t="s">
        <v>804</v>
      </c>
      <c r="N6" s="1170"/>
    </row>
    <row r="7" spans="1:14" ht="13.5" thickBot="1" x14ac:dyDescent="0.25">
      <c r="A7" s="934" t="s">
        <v>446</v>
      </c>
      <c r="B7" s="921" t="s">
        <v>447</v>
      </c>
      <c r="C7" s="921" t="s">
        <v>448</v>
      </c>
      <c r="D7" s="916" t="s">
        <v>449</v>
      </c>
      <c r="E7" s="920" t="s">
        <v>450</v>
      </c>
      <c r="F7" s="920" t="s">
        <v>635</v>
      </c>
      <c r="G7" s="920" t="s">
        <v>636</v>
      </c>
      <c r="H7" s="921" t="s">
        <v>637</v>
      </c>
      <c r="I7" s="916" t="s">
        <v>638</v>
      </c>
      <c r="J7" s="916" t="s">
        <v>670</v>
      </c>
      <c r="K7" s="916" t="s">
        <v>671</v>
      </c>
      <c r="L7" s="916" t="s">
        <v>672</v>
      </c>
      <c r="M7" s="1067" t="s">
        <v>673</v>
      </c>
      <c r="N7" s="1170"/>
    </row>
    <row r="8" spans="1:14" x14ac:dyDescent="0.2">
      <c r="A8" s="915" t="s">
        <v>203</v>
      </c>
      <c r="B8" s="930"/>
      <c r="C8" s="914"/>
      <c r="D8" s="914"/>
      <c r="E8" s="932"/>
      <c r="F8" s="914"/>
      <c r="G8" s="914"/>
      <c r="H8" s="914"/>
      <c r="I8" s="914"/>
      <c r="J8" s="914"/>
      <c r="K8" s="914"/>
      <c r="L8" s="935">
        <v>0</v>
      </c>
      <c r="M8" s="1091" t="str">
        <f t="shared" ref="M8:M15" si="0">IF((C8&lt;&gt;0),ROUND((L8/C8)*100,1),"")</f>
        <v/>
      </c>
      <c r="N8" s="1170"/>
    </row>
    <row r="9" spans="1:14" x14ac:dyDescent="0.2">
      <c r="A9" s="912" t="s">
        <v>206</v>
      </c>
      <c r="B9" s="950"/>
      <c r="C9" s="937"/>
      <c r="D9" s="937"/>
      <c r="E9" s="937"/>
      <c r="F9" s="937"/>
      <c r="G9" s="937"/>
      <c r="H9" s="937"/>
      <c r="I9" s="937"/>
      <c r="J9" s="937"/>
      <c r="K9" s="937"/>
      <c r="L9" s="933">
        <v>0</v>
      </c>
      <c r="M9" s="1096" t="str">
        <f t="shared" si="0"/>
        <v/>
      </c>
      <c r="N9" s="1170"/>
    </row>
    <row r="10" spans="1:14" x14ac:dyDescent="0.2">
      <c r="A10" s="910" t="s">
        <v>207</v>
      </c>
      <c r="B10" s="939">
        <v>214128350</v>
      </c>
      <c r="C10" s="947">
        <v>214128350</v>
      </c>
      <c r="D10" s="947">
        <v>214128350</v>
      </c>
      <c r="E10" s="947">
        <v>214128350</v>
      </c>
      <c r="F10" s="947"/>
      <c r="G10" s="947"/>
      <c r="H10" s="947"/>
      <c r="I10" s="947"/>
      <c r="J10" s="947">
        <v>214128350</v>
      </c>
      <c r="K10" s="947"/>
      <c r="L10" s="933">
        <v>214128350</v>
      </c>
      <c r="M10" s="1074">
        <f t="shared" si="0"/>
        <v>100</v>
      </c>
      <c r="N10" s="1170"/>
    </row>
    <row r="11" spans="1:14" x14ac:dyDescent="0.2">
      <c r="A11" s="910" t="s">
        <v>208</v>
      </c>
      <c r="B11" s="939"/>
      <c r="C11" s="947"/>
      <c r="D11" s="947"/>
      <c r="E11" s="947"/>
      <c r="F11" s="947"/>
      <c r="G11" s="947"/>
      <c r="H11" s="947"/>
      <c r="I11" s="947"/>
      <c r="J11" s="947"/>
      <c r="K11" s="947"/>
      <c r="L11" s="933"/>
      <c r="M11" s="1096" t="str">
        <f t="shared" si="0"/>
        <v/>
      </c>
      <c r="N11" s="1170"/>
    </row>
    <row r="12" spans="1:14" x14ac:dyDescent="0.2">
      <c r="A12" s="910" t="s">
        <v>209</v>
      </c>
      <c r="B12" s="939"/>
      <c r="C12" s="947"/>
      <c r="D12" s="947"/>
      <c r="E12" s="947"/>
      <c r="F12" s="947"/>
      <c r="G12" s="947"/>
      <c r="H12" s="947"/>
      <c r="I12" s="947"/>
      <c r="J12" s="947"/>
      <c r="K12" s="947"/>
      <c r="L12" s="933">
        <v>0</v>
      </c>
      <c r="M12" s="1096" t="str">
        <f t="shared" si="0"/>
        <v/>
      </c>
      <c r="N12" s="1170"/>
    </row>
    <row r="13" spans="1:14" x14ac:dyDescent="0.2">
      <c r="A13" s="910" t="s">
        <v>210</v>
      </c>
      <c r="B13" s="939"/>
      <c r="C13" s="947"/>
      <c r="D13" s="947"/>
      <c r="E13" s="947"/>
      <c r="F13" s="947"/>
      <c r="G13" s="947"/>
      <c r="H13" s="947"/>
      <c r="I13" s="947"/>
      <c r="J13" s="947"/>
      <c r="K13" s="947"/>
      <c r="L13" s="933">
        <v>0</v>
      </c>
      <c r="M13" s="1096" t="str">
        <f t="shared" si="0"/>
        <v/>
      </c>
      <c r="N13" s="1170"/>
    </row>
    <row r="14" spans="1:14" ht="15" customHeight="1" thickBot="1" x14ac:dyDescent="0.25">
      <c r="A14" s="948"/>
      <c r="B14" s="993"/>
      <c r="C14" s="940"/>
      <c r="D14" s="940"/>
      <c r="E14" s="940"/>
      <c r="F14" s="940"/>
      <c r="G14" s="940"/>
      <c r="H14" s="940"/>
      <c r="I14" s="940"/>
      <c r="J14" s="940"/>
      <c r="K14" s="940"/>
      <c r="L14" s="933">
        <v>0</v>
      </c>
      <c r="M14" s="1103" t="str">
        <f t="shared" si="0"/>
        <v/>
      </c>
      <c r="N14" s="1170"/>
    </row>
    <row r="15" spans="1:14" ht="13.5" thickBot="1" x14ac:dyDescent="0.25">
      <c r="A15" s="913" t="s">
        <v>211</v>
      </c>
      <c r="B15" s="927">
        <f>SUM(B8:B14)</f>
        <v>214128350</v>
      </c>
      <c r="C15" s="1105">
        <f t="shared" ref="C15:L15" si="1">SUM(C8:C14)</f>
        <v>214128350</v>
      </c>
      <c r="D15" s="1105">
        <f t="shared" si="1"/>
        <v>214128350</v>
      </c>
      <c r="E15" s="1105">
        <f t="shared" si="1"/>
        <v>214128350</v>
      </c>
      <c r="F15" s="1105">
        <f t="shared" si="1"/>
        <v>0</v>
      </c>
      <c r="G15" s="1105">
        <f t="shared" si="1"/>
        <v>0</v>
      </c>
      <c r="H15" s="1105">
        <f t="shared" si="1"/>
        <v>0</v>
      </c>
      <c r="I15" s="1105">
        <f t="shared" si="1"/>
        <v>0</v>
      </c>
      <c r="J15" s="1105">
        <f t="shared" si="1"/>
        <v>214128350</v>
      </c>
      <c r="K15" s="1105">
        <f t="shared" si="1"/>
        <v>0</v>
      </c>
      <c r="L15" s="1105">
        <f t="shared" si="1"/>
        <v>214128350</v>
      </c>
      <c r="M15" s="1106">
        <f t="shared" si="0"/>
        <v>100</v>
      </c>
      <c r="N15" s="1170"/>
    </row>
    <row r="16" spans="1:14" x14ac:dyDescent="0.2">
      <c r="A16" s="941"/>
      <c r="B16" s="945"/>
      <c r="C16" s="936"/>
      <c r="D16" s="936"/>
      <c r="E16" s="936"/>
      <c r="F16" s="936"/>
      <c r="G16" s="936"/>
      <c r="H16" s="936"/>
      <c r="I16" s="936"/>
      <c r="J16" s="936"/>
      <c r="K16" s="936"/>
      <c r="L16" s="936"/>
      <c r="M16" s="1068"/>
      <c r="N16" s="1170"/>
    </row>
    <row r="17" spans="1:14" ht="13.5" thickBot="1" x14ac:dyDescent="0.25">
      <c r="A17" s="946" t="s">
        <v>212</v>
      </c>
      <c r="B17" s="922"/>
      <c r="C17" s="938"/>
      <c r="D17" s="938"/>
      <c r="E17" s="938"/>
      <c r="F17" s="938"/>
      <c r="G17" s="938"/>
      <c r="H17" s="938"/>
      <c r="I17" s="938"/>
      <c r="J17" s="938"/>
      <c r="K17" s="938"/>
      <c r="L17" s="938"/>
      <c r="M17" s="1069"/>
      <c r="N17" s="1170"/>
    </row>
    <row r="18" spans="1:14" x14ac:dyDescent="0.2">
      <c r="A18" s="923" t="s">
        <v>213</v>
      </c>
      <c r="B18" s="930">
        <v>5334000</v>
      </c>
      <c r="C18" s="1087">
        <v>5334000</v>
      </c>
      <c r="D18" s="914"/>
      <c r="E18" s="932"/>
      <c r="F18" s="914">
        <v>2550160</v>
      </c>
      <c r="G18" s="1088">
        <v>2550160</v>
      </c>
      <c r="H18" s="914">
        <v>2550160</v>
      </c>
      <c r="I18" s="1088">
        <v>2550160</v>
      </c>
      <c r="J18" s="914"/>
      <c r="K18" s="914">
        <v>2550160</v>
      </c>
      <c r="L18" s="924">
        <v>2550160</v>
      </c>
      <c r="M18" s="1075">
        <f t="shared" ref="M18:M24" si="2">IF((C18&lt;&gt;0),ROUND((L18/C18)*100,1),"")</f>
        <v>47.8</v>
      </c>
      <c r="N18" s="1170"/>
    </row>
    <row r="19" spans="1:14" x14ac:dyDescent="0.2">
      <c r="A19" s="954" t="s">
        <v>214</v>
      </c>
      <c r="B19" s="950">
        <v>193808350</v>
      </c>
      <c r="C19" s="1093">
        <v>193808350</v>
      </c>
      <c r="D19" s="947"/>
      <c r="E19" s="947"/>
      <c r="F19" s="947"/>
      <c r="G19" s="1099"/>
      <c r="H19" s="947">
        <v>193808350</v>
      </c>
      <c r="I19" s="1099">
        <v>193808350</v>
      </c>
      <c r="J19" s="947"/>
      <c r="K19" s="947"/>
      <c r="L19" s="925"/>
      <c r="M19" s="1074">
        <f t="shared" si="2"/>
        <v>0</v>
      </c>
      <c r="N19" s="1170"/>
    </row>
    <row r="20" spans="1:14" x14ac:dyDescent="0.2">
      <c r="A20" s="954" t="s">
        <v>215</v>
      </c>
      <c r="B20" s="939">
        <v>14986000</v>
      </c>
      <c r="C20" s="1098">
        <v>14986000</v>
      </c>
      <c r="D20" s="947"/>
      <c r="E20" s="947"/>
      <c r="F20" s="947">
        <v>12693650</v>
      </c>
      <c r="G20" s="1099">
        <v>12693650</v>
      </c>
      <c r="H20" s="947">
        <v>2525500</v>
      </c>
      <c r="I20" s="1099">
        <v>2525500</v>
      </c>
      <c r="J20" s="947">
        <v>190500</v>
      </c>
      <c r="K20" s="947">
        <v>12693650</v>
      </c>
      <c r="L20" s="925">
        <v>12884150</v>
      </c>
      <c r="M20" s="1074">
        <f t="shared" si="2"/>
        <v>86</v>
      </c>
      <c r="N20" s="1170"/>
    </row>
    <row r="21" spans="1:14" x14ac:dyDescent="0.2">
      <c r="A21" s="954" t="s">
        <v>216</v>
      </c>
      <c r="B21" s="939"/>
      <c r="C21" s="947"/>
      <c r="D21" s="947"/>
      <c r="E21" s="947"/>
      <c r="F21" s="947"/>
      <c r="G21" s="947"/>
      <c r="H21" s="947"/>
      <c r="I21" s="947"/>
      <c r="J21" s="947"/>
      <c r="K21" s="947"/>
      <c r="L21" s="925"/>
      <c r="M21" s="1096" t="str">
        <f t="shared" si="2"/>
        <v/>
      </c>
      <c r="N21" s="1170"/>
    </row>
    <row r="22" spans="1:14" x14ac:dyDescent="0.2">
      <c r="A22" s="926"/>
      <c r="B22" s="939"/>
      <c r="C22" s="947"/>
      <c r="D22" s="947"/>
      <c r="E22" s="947"/>
      <c r="F22" s="947"/>
      <c r="G22" s="947"/>
      <c r="H22" s="947"/>
      <c r="I22" s="947"/>
      <c r="J22" s="947"/>
      <c r="K22" s="947"/>
      <c r="L22" s="925">
        <v>0</v>
      </c>
      <c r="M22" s="1096" t="str">
        <f t="shared" si="2"/>
        <v/>
      </c>
      <c r="N22" s="1170"/>
    </row>
    <row r="23" spans="1:14" ht="13.5" thickBot="1" x14ac:dyDescent="0.25">
      <c r="A23" s="953"/>
      <c r="B23" s="993"/>
      <c r="C23" s="940"/>
      <c r="D23" s="940"/>
      <c r="E23" s="940"/>
      <c r="F23" s="940"/>
      <c r="G23" s="940"/>
      <c r="H23" s="940"/>
      <c r="I23" s="940"/>
      <c r="J23" s="940"/>
      <c r="K23" s="940"/>
      <c r="L23" s="925">
        <v>0</v>
      </c>
      <c r="M23" s="1103" t="str">
        <f t="shared" si="2"/>
        <v/>
      </c>
      <c r="N23" s="1170"/>
    </row>
    <row r="24" spans="1:14" ht="13.5" thickBot="1" x14ac:dyDescent="0.25">
      <c r="A24" s="942" t="s">
        <v>218</v>
      </c>
      <c r="B24" s="927">
        <f>SUM(B18:B23)</f>
        <v>214128350</v>
      </c>
      <c r="C24" s="1105">
        <f t="shared" ref="C24:L24" si="3">SUM(C18:C23)</f>
        <v>214128350</v>
      </c>
      <c r="D24" s="1105">
        <f t="shared" si="3"/>
        <v>0</v>
      </c>
      <c r="E24" s="1105">
        <f t="shared" si="3"/>
        <v>0</v>
      </c>
      <c r="F24" s="1105">
        <f t="shared" si="3"/>
        <v>15243810</v>
      </c>
      <c r="G24" s="1105">
        <f t="shared" si="3"/>
        <v>15243810</v>
      </c>
      <c r="H24" s="1105">
        <f t="shared" si="3"/>
        <v>198884010</v>
      </c>
      <c r="I24" s="1105">
        <f t="shared" si="3"/>
        <v>198884010</v>
      </c>
      <c r="J24" s="1105">
        <f t="shared" si="3"/>
        <v>190500</v>
      </c>
      <c r="K24" s="1105">
        <f t="shared" si="3"/>
        <v>15243810</v>
      </c>
      <c r="L24" s="1105">
        <f t="shared" si="3"/>
        <v>15434310</v>
      </c>
      <c r="M24" s="1074">
        <f t="shared" si="2"/>
        <v>7.2</v>
      </c>
      <c r="N24" s="1170"/>
    </row>
    <row r="25" spans="1:14" ht="12.75" customHeight="1" x14ac:dyDescent="0.2">
      <c r="A25" s="1186" t="s">
        <v>674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962"/>
      <c r="B26" s="962"/>
      <c r="C26" s="962"/>
      <c r="D26" s="962"/>
      <c r="E26" s="962"/>
      <c r="F26" s="962"/>
      <c r="G26" s="962"/>
      <c r="H26" s="962"/>
      <c r="I26" s="962"/>
      <c r="J26" s="962"/>
      <c r="K26" s="962"/>
      <c r="L26" s="962"/>
      <c r="M26" s="1077"/>
      <c r="N26" s="1170"/>
    </row>
    <row r="27" spans="1:14" ht="15.75" customHeight="1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951"/>
      <c r="B28" s="951"/>
      <c r="C28" s="951"/>
      <c r="D28" s="951"/>
      <c r="E28" s="951"/>
      <c r="F28" s="951"/>
      <c r="G28" s="951"/>
      <c r="H28" s="951"/>
      <c r="I28" s="951"/>
      <c r="J28" s="951"/>
      <c r="K28" s="951"/>
      <c r="L28" s="1172" t="s">
        <v>489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004" t="s">
        <v>675</v>
      </c>
      <c r="L29" s="1004" t="s">
        <v>676</v>
      </c>
      <c r="M29" s="1070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932"/>
      <c r="L30" s="1005"/>
      <c r="M30" s="1071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006"/>
      <c r="L31" s="940"/>
      <c r="M31" s="107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007">
        <v>0</v>
      </c>
      <c r="L32" s="1007">
        <v>0</v>
      </c>
      <c r="M32" s="1079">
        <v>0</v>
      </c>
      <c r="N32" s="1170"/>
    </row>
    <row r="33" spans="1:14" ht="15" x14ac:dyDescent="0.25">
      <c r="A33" s="943"/>
      <c r="B33" s="943"/>
      <c r="C33" s="943"/>
      <c r="D33" s="943"/>
      <c r="E33" s="943"/>
      <c r="F33" s="943"/>
      <c r="G33" s="943"/>
      <c r="H33" s="943"/>
      <c r="I33" s="943"/>
      <c r="J33" s="943"/>
      <c r="K33" s="943"/>
      <c r="L33" s="943"/>
      <c r="M33" s="1076"/>
      <c r="N33" s="1008"/>
    </row>
    <row r="48" spans="1:14" ht="15" x14ac:dyDescent="0.25">
      <c r="A48" s="1009"/>
      <c r="B48" s="943"/>
      <c r="C48" s="943"/>
      <c r="D48" s="943"/>
      <c r="E48" s="943"/>
      <c r="F48" s="943"/>
      <c r="G48" s="943"/>
      <c r="H48" s="943"/>
      <c r="I48" s="943"/>
      <c r="J48" s="943"/>
      <c r="K48" s="943"/>
      <c r="L48" s="943"/>
      <c r="M48" s="1076"/>
      <c r="N48" s="943"/>
    </row>
  </sheetData>
  <mergeCells count="22">
    <mergeCell ref="A1:C1"/>
    <mergeCell ref="D1:M1"/>
    <mergeCell ref="N1:N32"/>
    <mergeCell ref="A2:K2"/>
    <mergeCell ref="L2:M2"/>
    <mergeCell ref="A25:M25"/>
    <mergeCell ref="A3:A6"/>
    <mergeCell ref="B3:I3"/>
    <mergeCell ref="J3:M5"/>
    <mergeCell ref="B4:B5"/>
    <mergeCell ref="C4:C5"/>
    <mergeCell ref="D4:I4"/>
    <mergeCell ref="B6:C6"/>
    <mergeCell ref="D6:E6"/>
    <mergeCell ref="F6:G6"/>
    <mergeCell ref="H6:I6"/>
    <mergeCell ref="A32:J32"/>
    <mergeCell ref="A31:J31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0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001" customWidth="1"/>
    <col min="2" max="2" width="9.28515625" style="1001" bestFit="1" customWidth="1"/>
    <col min="3" max="12" width="8.5703125" style="1001" customWidth="1"/>
    <col min="13" max="13" width="8.5703125" style="1073" customWidth="1"/>
    <col min="14" max="14" width="3.42578125" style="1001" customWidth="1"/>
    <col min="15" max="16384" width="8" style="1001"/>
  </cols>
  <sheetData>
    <row r="1" spans="1:14" ht="59.45" customHeight="1" x14ac:dyDescent="0.2">
      <c r="A1" s="1167" t="s">
        <v>782</v>
      </c>
      <c r="B1" s="1167"/>
      <c r="C1" s="1167"/>
      <c r="D1" s="1168" t="s">
        <v>806</v>
      </c>
      <c r="E1" s="1169"/>
      <c r="F1" s="1169"/>
      <c r="G1" s="1169"/>
      <c r="H1" s="1169"/>
      <c r="I1" s="1169"/>
      <c r="J1" s="1169"/>
      <c r="K1" s="1169"/>
      <c r="L1" s="1169"/>
      <c r="M1" s="1169"/>
      <c r="N1" s="1170" t="s">
        <v>828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customHeight="1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21.75" thickBot="1" x14ac:dyDescent="0.25">
      <c r="A5" s="1174"/>
      <c r="B5" s="1179"/>
      <c r="C5" s="1180"/>
      <c r="D5" s="1011" t="s">
        <v>222</v>
      </c>
      <c r="E5" s="1011" t="s">
        <v>223</v>
      </c>
      <c r="F5" s="1011" t="s">
        <v>222</v>
      </c>
      <c r="G5" s="1011" t="s">
        <v>223</v>
      </c>
      <c r="H5" s="1011" t="s">
        <v>222</v>
      </c>
      <c r="I5" s="1011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1012" t="s">
        <v>802</v>
      </c>
      <c r="K6" s="1011" t="s">
        <v>793</v>
      </c>
      <c r="L6" s="1012" t="s">
        <v>248</v>
      </c>
      <c r="M6" s="1066" t="s">
        <v>804</v>
      </c>
      <c r="N6" s="1170"/>
    </row>
    <row r="7" spans="1:14" ht="13.5" thickBot="1" x14ac:dyDescent="0.25">
      <c r="A7" s="1013" t="s">
        <v>446</v>
      </c>
      <c r="B7" s="1012" t="s">
        <v>447</v>
      </c>
      <c r="C7" s="1012" t="s">
        <v>448</v>
      </c>
      <c r="D7" s="1014" t="s">
        <v>449</v>
      </c>
      <c r="E7" s="1011" t="s">
        <v>450</v>
      </c>
      <c r="F7" s="1011" t="s">
        <v>635</v>
      </c>
      <c r="G7" s="1011" t="s">
        <v>636</v>
      </c>
      <c r="H7" s="1012" t="s">
        <v>637</v>
      </c>
      <c r="I7" s="1014" t="s">
        <v>638</v>
      </c>
      <c r="J7" s="1014" t="s">
        <v>670</v>
      </c>
      <c r="K7" s="1014" t="s">
        <v>671</v>
      </c>
      <c r="L7" s="1014" t="s">
        <v>672</v>
      </c>
      <c r="M7" s="1067" t="s">
        <v>673</v>
      </c>
      <c r="N7" s="1170"/>
    </row>
    <row r="8" spans="1:14" x14ac:dyDescent="0.2">
      <c r="A8" s="1015" t="s">
        <v>203</v>
      </c>
      <c r="B8" s="1016"/>
      <c r="C8" s="1017"/>
      <c r="D8" s="1017"/>
      <c r="E8" s="1018"/>
      <c r="F8" s="1017"/>
      <c r="G8" s="1017"/>
      <c r="H8" s="1017"/>
      <c r="I8" s="1017"/>
      <c r="J8" s="1017"/>
      <c r="K8" s="1017"/>
      <c r="L8" s="1019">
        <v>0</v>
      </c>
      <c r="M8" s="1091" t="str">
        <f t="shared" ref="M8:M15" si="0">IF((C8&lt;&gt;0),ROUND((L8/C8)*100,1),"")</f>
        <v/>
      </c>
      <c r="N8" s="1170"/>
    </row>
    <row r="9" spans="1:14" x14ac:dyDescent="0.2">
      <c r="A9" s="1020" t="s">
        <v>206</v>
      </c>
      <c r="B9" s="1021"/>
      <c r="C9" s="1022"/>
      <c r="D9" s="1022"/>
      <c r="E9" s="1022"/>
      <c r="F9" s="1022"/>
      <c r="G9" s="1022"/>
      <c r="H9" s="1022"/>
      <c r="I9" s="1022"/>
      <c r="J9" s="1022"/>
      <c r="K9" s="1022"/>
      <c r="L9" s="1023">
        <v>0</v>
      </c>
      <c r="M9" s="1096" t="str">
        <f t="shared" si="0"/>
        <v/>
      </c>
      <c r="N9" s="1170"/>
    </row>
    <row r="10" spans="1:14" x14ac:dyDescent="0.2">
      <c r="A10" s="1024" t="s">
        <v>207</v>
      </c>
      <c r="B10" s="1025">
        <v>9000000</v>
      </c>
      <c r="C10" s="1026">
        <v>9000000</v>
      </c>
      <c r="D10" s="1026">
        <v>9000000</v>
      </c>
      <c r="E10" s="1026">
        <v>9000000</v>
      </c>
      <c r="F10" s="1026"/>
      <c r="G10" s="1026"/>
      <c r="H10" s="1026"/>
      <c r="I10" s="1026"/>
      <c r="J10" s="1026">
        <v>9000000</v>
      </c>
      <c r="K10" s="1026"/>
      <c r="L10" s="1023">
        <v>9000000</v>
      </c>
      <c r="M10" s="1074">
        <f t="shared" si="0"/>
        <v>100</v>
      </c>
      <c r="N10" s="1170"/>
    </row>
    <row r="11" spans="1:14" x14ac:dyDescent="0.2">
      <c r="A11" s="1024" t="s">
        <v>208</v>
      </c>
      <c r="B11" s="1025"/>
      <c r="C11" s="1026"/>
      <c r="D11" s="1026"/>
      <c r="E11" s="1026"/>
      <c r="F11" s="1026"/>
      <c r="G11" s="1026"/>
      <c r="H11" s="1026"/>
      <c r="I11" s="1026"/>
      <c r="J11" s="1026"/>
      <c r="K11" s="1026"/>
      <c r="L11" s="1023"/>
      <c r="M11" s="1096" t="str">
        <f t="shared" si="0"/>
        <v/>
      </c>
      <c r="N11" s="1170"/>
    </row>
    <row r="12" spans="1:14" x14ac:dyDescent="0.2">
      <c r="A12" s="1024" t="s">
        <v>209</v>
      </c>
      <c r="B12" s="1025"/>
      <c r="C12" s="1026"/>
      <c r="D12" s="1026"/>
      <c r="E12" s="1026"/>
      <c r="F12" s="1026"/>
      <c r="G12" s="1026"/>
      <c r="H12" s="1026"/>
      <c r="I12" s="1026"/>
      <c r="J12" s="1026"/>
      <c r="K12" s="1026"/>
      <c r="L12" s="1023">
        <v>0</v>
      </c>
      <c r="M12" s="1096" t="str">
        <f t="shared" si="0"/>
        <v/>
      </c>
      <c r="N12" s="1170"/>
    </row>
    <row r="13" spans="1:14" x14ac:dyDescent="0.2">
      <c r="A13" s="1024" t="s">
        <v>210</v>
      </c>
      <c r="B13" s="1025"/>
      <c r="C13" s="1026"/>
      <c r="D13" s="1026"/>
      <c r="E13" s="1026"/>
      <c r="F13" s="1026"/>
      <c r="G13" s="1026"/>
      <c r="H13" s="1026"/>
      <c r="I13" s="1026"/>
      <c r="J13" s="1026"/>
      <c r="K13" s="1026"/>
      <c r="L13" s="1023">
        <v>0</v>
      </c>
      <c r="M13" s="1096" t="str">
        <f t="shared" si="0"/>
        <v/>
      </c>
      <c r="N13" s="1170"/>
    </row>
    <row r="14" spans="1:14" ht="15" customHeight="1" thickBot="1" x14ac:dyDescent="0.25">
      <c r="A14" s="1027"/>
      <c r="B14" s="1028"/>
      <c r="C14" s="1029"/>
      <c r="D14" s="1029"/>
      <c r="E14" s="1029"/>
      <c r="F14" s="1029"/>
      <c r="G14" s="1029"/>
      <c r="H14" s="1029"/>
      <c r="I14" s="1029"/>
      <c r="J14" s="1029"/>
      <c r="K14" s="1029"/>
      <c r="L14" s="1023">
        <v>0</v>
      </c>
      <c r="M14" s="1103" t="str">
        <f t="shared" si="0"/>
        <v/>
      </c>
      <c r="N14" s="1170"/>
    </row>
    <row r="15" spans="1:14" ht="13.5" thickBot="1" x14ac:dyDescent="0.25">
      <c r="A15" s="1030" t="s">
        <v>211</v>
      </c>
      <c r="B15" s="1031">
        <f>SUM(B8:B14)</f>
        <v>9000000</v>
      </c>
      <c r="C15" s="1105">
        <f t="shared" ref="C15:K15" si="1">SUM(C8:C14)</f>
        <v>9000000</v>
      </c>
      <c r="D15" s="1105">
        <f t="shared" si="1"/>
        <v>9000000</v>
      </c>
      <c r="E15" s="1105">
        <f t="shared" si="1"/>
        <v>9000000</v>
      </c>
      <c r="F15" s="1105">
        <f t="shared" si="1"/>
        <v>0</v>
      </c>
      <c r="G15" s="1105">
        <f t="shared" si="1"/>
        <v>0</v>
      </c>
      <c r="H15" s="1105">
        <f t="shared" si="1"/>
        <v>0</v>
      </c>
      <c r="I15" s="1105">
        <f t="shared" si="1"/>
        <v>0</v>
      </c>
      <c r="J15" s="1105">
        <f t="shared" si="1"/>
        <v>9000000</v>
      </c>
      <c r="K15" s="1105">
        <f t="shared" si="1"/>
        <v>0</v>
      </c>
      <c r="L15" s="1031">
        <v>9000000</v>
      </c>
      <c r="M15" s="1106">
        <f t="shared" si="0"/>
        <v>100</v>
      </c>
      <c r="N15" s="1170"/>
    </row>
    <row r="16" spans="1:14" x14ac:dyDescent="0.2">
      <c r="A16" s="1032"/>
      <c r="B16" s="1033"/>
      <c r="C16" s="1034"/>
      <c r="D16" s="1034"/>
      <c r="E16" s="1034"/>
      <c r="F16" s="1034"/>
      <c r="G16" s="1034"/>
      <c r="H16" s="1034"/>
      <c r="I16" s="1034"/>
      <c r="J16" s="1034"/>
      <c r="K16" s="1034"/>
      <c r="L16" s="1034"/>
      <c r="M16" s="1068"/>
      <c r="N16" s="1170"/>
    </row>
    <row r="17" spans="1:14" ht="13.5" thickBot="1" x14ac:dyDescent="0.25">
      <c r="A17" s="1035" t="s">
        <v>212</v>
      </c>
      <c r="B17" s="1036"/>
      <c r="C17" s="1037"/>
      <c r="D17" s="1037"/>
      <c r="E17" s="1037"/>
      <c r="F17" s="1037"/>
      <c r="G17" s="1037"/>
      <c r="H17" s="1037"/>
      <c r="I17" s="1037"/>
      <c r="J17" s="1037"/>
      <c r="K17" s="1037"/>
      <c r="L17" s="1037"/>
      <c r="M17" s="1069"/>
      <c r="N17" s="1170"/>
    </row>
    <row r="18" spans="1:14" x14ac:dyDescent="0.2">
      <c r="A18" s="1038" t="s">
        <v>213</v>
      </c>
      <c r="B18" s="1016"/>
      <c r="C18" s="1017">
        <v>42399</v>
      </c>
      <c r="D18" s="1017"/>
      <c r="E18" s="1018"/>
      <c r="F18" s="1017">
        <v>42399</v>
      </c>
      <c r="G18" s="1017">
        <v>42399</v>
      </c>
      <c r="H18" s="1017"/>
      <c r="I18" s="1017"/>
      <c r="J18" s="1017"/>
      <c r="K18" s="1017">
        <v>42399</v>
      </c>
      <c r="L18" s="1039">
        <v>42399</v>
      </c>
      <c r="M18" s="1075">
        <f t="shared" ref="M18:M23" si="2">IF((C18&lt;&gt;0),ROUND((L18/C18)*100,1),"")</f>
        <v>100</v>
      </c>
      <c r="N18" s="1170"/>
    </row>
    <row r="19" spans="1:14" x14ac:dyDescent="0.2">
      <c r="A19" s="1040" t="s">
        <v>214</v>
      </c>
      <c r="B19" s="1021">
        <v>2160000</v>
      </c>
      <c r="C19" s="1026">
        <v>2160000</v>
      </c>
      <c r="D19" s="1026">
        <v>2160000</v>
      </c>
      <c r="E19" s="1026">
        <v>2160000</v>
      </c>
      <c r="F19" s="1026"/>
      <c r="G19" s="1026"/>
      <c r="H19" s="1026"/>
      <c r="I19" s="1026"/>
      <c r="J19" s="1026">
        <v>2160000</v>
      </c>
      <c r="K19" s="1026"/>
      <c r="L19" s="1041">
        <v>2160000</v>
      </c>
      <c r="M19" s="1074">
        <f t="shared" si="2"/>
        <v>100</v>
      </c>
      <c r="N19" s="1170"/>
    </row>
    <row r="20" spans="1:14" x14ac:dyDescent="0.2">
      <c r="A20" s="1040" t="s">
        <v>215</v>
      </c>
      <c r="B20" s="1025">
        <v>6840000</v>
      </c>
      <c r="C20" s="1026">
        <v>6797601</v>
      </c>
      <c r="D20" s="1026">
        <v>3166651</v>
      </c>
      <c r="E20" s="1026">
        <v>3166651</v>
      </c>
      <c r="F20" s="1026">
        <v>3471765</v>
      </c>
      <c r="G20" s="1026">
        <v>3471765</v>
      </c>
      <c r="H20" s="1026"/>
      <c r="I20" s="1026"/>
      <c r="J20" s="1026">
        <v>3166651</v>
      </c>
      <c r="K20" s="1026">
        <v>3471765</v>
      </c>
      <c r="L20" s="1041">
        <v>6638416</v>
      </c>
      <c r="M20" s="1074">
        <f t="shared" si="2"/>
        <v>97.7</v>
      </c>
      <c r="N20" s="1170"/>
    </row>
    <row r="21" spans="1:14" x14ac:dyDescent="0.2">
      <c r="A21" s="1040" t="s">
        <v>216</v>
      </c>
      <c r="B21" s="1025"/>
      <c r="C21" s="1026"/>
      <c r="D21" s="1026"/>
      <c r="E21" s="1026"/>
      <c r="F21" s="1026"/>
      <c r="G21" s="1026"/>
      <c r="H21" s="1026"/>
      <c r="I21" s="1026"/>
      <c r="J21" s="1026"/>
      <c r="K21" s="1026"/>
      <c r="L21" s="1041"/>
      <c r="M21" s="1096" t="str">
        <f t="shared" si="2"/>
        <v/>
      </c>
      <c r="N21" s="1170"/>
    </row>
    <row r="22" spans="1:14" x14ac:dyDescent="0.2">
      <c r="A22" s="1042"/>
      <c r="B22" s="1025"/>
      <c r="C22" s="1026"/>
      <c r="D22" s="1026"/>
      <c r="E22" s="1026"/>
      <c r="F22" s="1026"/>
      <c r="G22" s="1026"/>
      <c r="H22" s="1026"/>
      <c r="I22" s="1026"/>
      <c r="J22" s="1026"/>
      <c r="K22" s="1026"/>
      <c r="L22" s="1041">
        <v>0</v>
      </c>
      <c r="M22" s="1096" t="str">
        <f t="shared" si="2"/>
        <v/>
      </c>
      <c r="N22" s="1170"/>
    </row>
    <row r="23" spans="1:14" ht="13.5" thickBot="1" x14ac:dyDescent="0.25">
      <c r="A23" s="1043"/>
      <c r="B23" s="1028"/>
      <c r="C23" s="1029"/>
      <c r="D23" s="1029"/>
      <c r="E23" s="1029"/>
      <c r="F23" s="1029"/>
      <c r="G23" s="1029"/>
      <c r="H23" s="1029"/>
      <c r="I23" s="1029"/>
      <c r="J23" s="1029"/>
      <c r="K23" s="1029"/>
      <c r="L23" s="1041">
        <v>0</v>
      </c>
      <c r="M23" s="1103" t="str">
        <f t="shared" si="2"/>
        <v/>
      </c>
      <c r="N23" s="1170"/>
    </row>
    <row r="24" spans="1:14" ht="13.5" thickBot="1" x14ac:dyDescent="0.25">
      <c r="A24" s="1044" t="s">
        <v>218</v>
      </c>
      <c r="B24" s="1031">
        <f>SUM(B18:B23)</f>
        <v>9000000</v>
      </c>
      <c r="C24" s="1105">
        <f t="shared" ref="C24:L24" si="3">SUM(C18:C23)</f>
        <v>9000000</v>
      </c>
      <c r="D24" s="1105">
        <f t="shared" si="3"/>
        <v>5326651</v>
      </c>
      <c r="E24" s="1105">
        <f t="shared" si="3"/>
        <v>5326651</v>
      </c>
      <c r="F24" s="1105">
        <f t="shared" si="3"/>
        <v>3514164</v>
      </c>
      <c r="G24" s="1105">
        <f t="shared" si="3"/>
        <v>3514164</v>
      </c>
      <c r="H24" s="1105">
        <f t="shared" si="3"/>
        <v>0</v>
      </c>
      <c r="I24" s="1105">
        <f t="shared" si="3"/>
        <v>0</v>
      </c>
      <c r="J24" s="1105">
        <f t="shared" si="3"/>
        <v>5326651</v>
      </c>
      <c r="K24" s="1105">
        <f t="shared" si="3"/>
        <v>3514164</v>
      </c>
      <c r="L24" s="1105">
        <f t="shared" si="3"/>
        <v>8840815</v>
      </c>
      <c r="M24" s="1075">
        <f>IF((C24&lt;&gt;0),ROUND((L24/C24)*100,1),"")</f>
        <v>98.2</v>
      </c>
      <c r="N24" s="1170"/>
    </row>
    <row r="25" spans="1:14" ht="12.75" customHeight="1" x14ac:dyDescent="0.2">
      <c r="A25" s="1186" t="s">
        <v>986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1045"/>
      <c r="B26" s="1045"/>
      <c r="C26" s="1045"/>
      <c r="D26" s="1045"/>
      <c r="E26" s="1045"/>
      <c r="F26" s="1045"/>
      <c r="G26" s="1045"/>
      <c r="H26" s="1045"/>
      <c r="I26" s="1045"/>
      <c r="J26" s="1045"/>
      <c r="K26" s="1045"/>
      <c r="L26" s="1045"/>
      <c r="M26" s="1077"/>
      <c r="N26" s="1170"/>
    </row>
    <row r="27" spans="1:14" ht="15.75" customHeight="1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1046"/>
      <c r="B28" s="1046"/>
      <c r="C28" s="1046"/>
      <c r="D28" s="1046"/>
      <c r="E28" s="1046"/>
      <c r="F28" s="1046"/>
      <c r="G28" s="1046"/>
      <c r="H28" s="1046"/>
      <c r="I28" s="1046"/>
      <c r="J28" s="1046"/>
      <c r="K28" s="1046"/>
      <c r="L28" s="1172" t="s">
        <v>489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047" t="s">
        <v>675</v>
      </c>
      <c r="L29" s="1047" t="s">
        <v>676</v>
      </c>
      <c r="M29" s="1070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1018"/>
      <c r="L30" s="1048"/>
      <c r="M30" s="1071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049"/>
      <c r="L31" s="1029"/>
      <c r="M31" s="107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050">
        <v>0</v>
      </c>
      <c r="L32" s="1050">
        <v>0</v>
      </c>
      <c r="M32" s="1079">
        <v>0</v>
      </c>
      <c r="N32" s="1170"/>
    </row>
    <row r="33" spans="1:14" ht="15" x14ac:dyDescent="0.25">
      <c r="A33" s="1010"/>
      <c r="B33" s="1010"/>
      <c r="C33" s="1010"/>
      <c r="D33" s="1010"/>
      <c r="E33" s="1010"/>
      <c r="F33" s="1010"/>
      <c r="G33" s="1010"/>
      <c r="H33" s="1010"/>
      <c r="I33" s="1010"/>
      <c r="J33" s="1010"/>
      <c r="K33" s="1010"/>
      <c r="L33" s="1010"/>
      <c r="M33" s="1076"/>
      <c r="N33" s="1051"/>
    </row>
    <row r="34" spans="1:14" x14ac:dyDescent="0.2">
      <c r="A34" s="919"/>
      <c r="B34" s="919"/>
      <c r="C34" s="919"/>
      <c r="D34" s="919"/>
      <c r="E34" s="919"/>
      <c r="F34" s="919"/>
      <c r="G34" s="919"/>
      <c r="H34" s="919"/>
      <c r="I34" s="919"/>
      <c r="J34" s="919"/>
      <c r="K34" s="919"/>
      <c r="L34" s="919"/>
      <c r="N34" s="919"/>
    </row>
    <row r="35" spans="1:14" x14ac:dyDescent="0.2">
      <c r="A35" s="919"/>
      <c r="B35" s="919"/>
      <c r="C35" s="919"/>
      <c r="D35" s="919"/>
      <c r="E35" s="919"/>
      <c r="F35" s="919"/>
      <c r="G35" s="919"/>
      <c r="H35" s="919"/>
      <c r="I35" s="919"/>
      <c r="J35" s="919"/>
      <c r="K35" s="919"/>
      <c r="L35" s="919"/>
      <c r="N35" s="919"/>
    </row>
    <row r="36" spans="1:14" x14ac:dyDescent="0.2">
      <c r="A36" s="919"/>
      <c r="B36" s="919"/>
      <c r="C36" s="919"/>
      <c r="D36" s="919"/>
      <c r="E36" s="919"/>
      <c r="F36" s="919"/>
      <c r="G36" s="919"/>
      <c r="H36" s="919"/>
      <c r="I36" s="919"/>
      <c r="J36" s="919"/>
      <c r="K36" s="919"/>
      <c r="L36" s="919"/>
      <c r="N36" s="919"/>
    </row>
    <row r="37" spans="1:14" x14ac:dyDescent="0.2">
      <c r="A37" s="919"/>
      <c r="B37" s="919"/>
      <c r="C37" s="919"/>
      <c r="D37" s="919"/>
      <c r="E37" s="919"/>
      <c r="F37" s="919"/>
      <c r="G37" s="919"/>
      <c r="H37" s="919"/>
      <c r="I37" s="919"/>
      <c r="J37" s="919"/>
      <c r="K37" s="919"/>
      <c r="L37" s="919"/>
      <c r="N37" s="919"/>
    </row>
    <row r="38" spans="1:14" x14ac:dyDescent="0.2">
      <c r="A38" s="919"/>
      <c r="B38" s="919"/>
      <c r="C38" s="919"/>
      <c r="D38" s="919"/>
      <c r="E38" s="919"/>
      <c r="F38" s="919"/>
      <c r="G38" s="919"/>
      <c r="H38" s="919"/>
      <c r="I38" s="919"/>
      <c r="J38" s="919"/>
      <c r="K38" s="919"/>
      <c r="L38" s="919"/>
      <c r="N38" s="919"/>
    </row>
    <row r="39" spans="1:14" x14ac:dyDescent="0.2">
      <c r="A39" s="919"/>
      <c r="B39" s="919"/>
      <c r="C39" s="919"/>
      <c r="D39" s="919"/>
      <c r="E39" s="919"/>
      <c r="F39" s="919"/>
      <c r="G39" s="919"/>
      <c r="H39" s="919"/>
      <c r="I39" s="919"/>
      <c r="J39" s="919"/>
      <c r="K39" s="919"/>
      <c r="L39" s="919"/>
      <c r="N39" s="919"/>
    </row>
    <row r="40" spans="1:14" x14ac:dyDescent="0.2">
      <c r="A40" s="919"/>
      <c r="B40" s="919"/>
      <c r="C40" s="919"/>
      <c r="D40" s="919"/>
      <c r="E40" s="919"/>
      <c r="F40" s="919"/>
      <c r="G40" s="919"/>
      <c r="H40" s="919"/>
      <c r="I40" s="919"/>
      <c r="J40" s="919"/>
      <c r="K40" s="919"/>
      <c r="L40" s="919"/>
      <c r="N40" s="919"/>
    </row>
    <row r="41" spans="1:14" x14ac:dyDescent="0.2">
      <c r="A41" s="919"/>
      <c r="B41" s="919"/>
      <c r="C41" s="919"/>
      <c r="D41" s="919"/>
      <c r="E41" s="919"/>
      <c r="F41" s="919"/>
      <c r="G41" s="919"/>
      <c r="H41" s="919"/>
      <c r="I41" s="919"/>
      <c r="J41" s="919"/>
      <c r="K41" s="919"/>
      <c r="L41" s="919"/>
      <c r="N41" s="919"/>
    </row>
    <row r="42" spans="1:14" x14ac:dyDescent="0.2">
      <c r="A42" s="919"/>
      <c r="B42" s="919"/>
      <c r="C42" s="919"/>
      <c r="D42" s="919"/>
      <c r="E42" s="919"/>
      <c r="F42" s="919"/>
      <c r="G42" s="919"/>
      <c r="H42" s="919"/>
      <c r="I42" s="919"/>
      <c r="J42" s="919"/>
      <c r="K42" s="919"/>
      <c r="L42" s="919"/>
      <c r="N42" s="919"/>
    </row>
    <row r="43" spans="1:14" x14ac:dyDescent="0.2">
      <c r="A43" s="919"/>
      <c r="B43" s="919"/>
      <c r="C43" s="919"/>
      <c r="D43" s="919"/>
      <c r="E43" s="919"/>
      <c r="F43" s="919"/>
      <c r="G43" s="919"/>
      <c r="H43" s="919"/>
      <c r="I43" s="919"/>
      <c r="J43" s="919"/>
      <c r="K43" s="919"/>
      <c r="L43" s="919"/>
      <c r="N43" s="919"/>
    </row>
    <row r="44" spans="1:14" x14ac:dyDescent="0.2">
      <c r="A44" s="919"/>
      <c r="B44" s="919"/>
      <c r="C44" s="919"/>
      <c r="D44" s="919"/>
      <c r="E44" s="919"/>
      <c r="F44" s="919"/>
      <c r="G44" s="919"/>
      <c r="H44" s="919"/>
      <c r="I44" s="919"/>
      <c r="J44" s="919"/>
      <c r="K44" s="919"/>
      <c r="L44" s="919"/>
      <c r="N44" s="919"/>
    </row>
    <row r="45" spans="1:14" x14ac:dyDescent="0.2">
      <c r="A45" s="919"/>
      <c r="B45" s="919"/>
      <c r="C45" s="919"/>
      <c r="D45" s="919"/>
      <c r="E45" s="919"/>
      <c r="F45" s="919"/>
      <c r="G45" s="919"/>
      <c r="H45" s="919"/>
      <c r="I45" s="919"/>
      <c r="J45" s="919"/>
      <c r="K45" s="919"/>
      <c r="L45" s="919"/>
      <c r="N45" s="919"/>
    </row>
    <row r="46" spans="1:14" x14ac:dyDescent="0.2">
      <c r="A46" s="919"/>
      <c r="B46" s="919"/>
      <c r="C46" s="919"/>
      <c r="D46" s="919"/>
      <c r="E46" s="919"/>
      <c r="F46" s="919"/>
      <c r="G46" s="919"/>
      <c r="H46" s="919"/>
      <c r="I46" s="919"/>
      <c r="J46" s="919"/>
      <c r="K46" s="919"/>
      <c r="L46" s="919"/>
      <c r="N46" s="919"/>
    </row>
    <row r="47" spans="1:14" x14ac:dyDescent="0.2">
      <c r="A47" s="919"/>
      <c r="B47" s="919"/>
      <c r="C47" s="919"/>
      <c r="D47" s="919"/>
      <c r="E47" s="919"/>
      <c r="F47" s="919"/>
      <c r="G47" s="919"/>
      <c r="H47" s="919"/>
      <c r="I47" s="919"/>
      <c r="J47" s="919"/>
      <c r="K47" s="919"/>
      <c r="L47" s="919"/>
      <c r="N47" s="919"/>
    </row>
    <row r="48" spans="1:14" ht="15" x14ac:dyDescent="0.25">
      <c r="A48" s="1052"/>
      <c r="B48" s="1010"/>
      <c r="C48" s="1010"/>
      <c r="D48" s="1010"/>
      <c r="E48" s="1010"/>
      <c r="F48" s="1010"/>
      <c r="G48" s="1010"/>
      <c r="H48" s="1010"/>
      <c r="I48" s="1010"/>
      <c r="J48" s="1010"/>
      <c r="K48" s="1010"/>
      <c r="L48" s="1010"/>
      <c r="M48" s="1076"/>
      <c r="N48" s="1010"/>
    </row>
  </sheetData>
  <mergeCells count="22">
    <mergeCell ref="A1:C1"/>
    <mergeCell ref="D1:M1"/>
    <mergeCell ref="N1:N32"/>
    <mergeCell ref="A2:K2"/>
    <mergeCell ref="L2:M2"/>
    <mergeCell ref="A25:M25"/>
    <mergeCell ref="A3:A6"/>
    <mergeCell ref="B3:I3"/>
    <mergeCell ref="J3:M5"/>
    <mergeCell ref="B4:B5"/>
    <mergeCell ref="C4:C5"/>
    <mergeCell ref="D4:I4"/>
    <mergeCell ref="B6:C6"/>
    <mergeCell ref="D6:E6"/>
    <mergeCell ref="F6:G6"/>
    <mergeCell ref="H6:I6"/>
    <mergeCell ref="A32:J32"/>
    <mergeCell ref="A31:J31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2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080" customWidth="1"/>
    <col min="2" max="2" width="9.28515625" style="1080" bestFit="1" customWidth="1"/>
    <col min="3" max="4" width="8.5703125" style="1080" customWidth="1"/>
    <col min="5" max="5" width="8.85546875" style="1080" customWidth="1"/>
    <col min="6" max="6" width="8.5703125" style="1080" customWidth="1"/>
    <col min="7" max="7" width="9" style="1080" customWidth="1"/>
    <col min="8" max="8" width="8.5703125" style="1080" customWidth="1"/>
    <col min="9" max="9" width="8.85546875" style="1080" customWidth="1"/>
    <col min="10" max="13" width="8.5703125" style="1080" customWidth="1"/>
    <col min="14" max="14" width="3.42578125" style="1080" customWidth="1"/>
    <col min="15" max="16384" width="8" style="1080"/>
  </cols>
  <sheetData>
    <row r="1" spans="1:14" ht="59.45" customHeight="1" x14ac:dyDescent="0.2">
      <c r="A1" s="1167" t="s">
        <v>355</v>
      </c>
      <c r="B1" s="1167"/>
      <c r="C1" s="1167"/>
      <c r="D1" s="1192" t="s">
        <v>788</v>
      </c>
      <c r="E1" s="1192"/>
      <c r="F1" s="1192"/>
      <c r="G1" s="1192"/>
      <c r="H1" s="1192"/>
      <c r="I1" s="1192"/>
      <c r="J1" s="1192"/>
      <c r="K1" s="1192"/>
      <c r="L1" s="1192"/>
      <c r="M1" s="1192"/>
      <c r="N1" s="1170" t="s">
        <v>829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13.5" thickBot="1" x14ac:dyDescent="0.25">
      <c r="A5" s="1174"/>
      <c r="B5" s="1179"/>
      <c r="C5" s="1180"/>
      <c r="D5" s="1081" t="s">
        <v>222</v>
      </c>
      <c r="E5" s="1081" t="s">
        <v>223</v>
      </c>
      <c r="F5" s="1081" t="s">
        <v>222</v>
      </c>
      <c r="G5" s="1081" t="s">
        <v>223</v>
      </c>
      <c r="H5" s="1081" t="s">
        <v>222</v>
      </c>
      <c r="I5" s="1081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1082" t="str">
        <f>+D6</f>
        <v>2018. előtt</v>
      </c>
      <c r="K6" s="1081" t="str">
        <f>+F6</f>
        <v>2018. évi</v>
      </c>
      <c r="L6" s="1082" t="s">
        <v>248</v>
      </c>
      <c r="M6" s="1081" t="s">
        <v>804</v>
      </c>
      <c r="N6" s="1170"/>
    </row>
    <row r="7" spans="1:14" ht="13.5" thickBot="1" x14ac:dyDescent="0.25">
      <c r="A7" s="1083" t="s">
        <v>446</v>
      </c>
      <c r="B7" s="1082" t="s">
        <v>447</v>
      </c>
      <c r="C7" s="1082" t="s">
        <v>448</v>
      </c>
      <c r="D7" s="1084" t="s">
        <v>449</v>
      </c>
      <c r="E7" s="1081" t="s">
        <v>450</v>
      </c>
      <c r="F7" s="1081" t="s">
        <v>635</v>
      </c>
      <c r="G7" s="1081" t="s">
        <v>636</v>
      </c>
      <c r="H7" s="1082" t="s">
        <v>637</v>
      </c>
      <c r="I7" s="1084" t="s">
        <v>638</v>
      </c>
      <c r="J7" s="1084" t="s">
        <v>670</v>
      </c>
      <c r="K7" s="1084" t="s">
        <v>671</v>
      </c>
      <c r="L7" s="1084" t="s">
        <v>672</v>
      </c>
      <c r="M7" s="1085" t="s">
        <v>673</v>
      </c>
      <c r="N7" s="1170"/>
    </row>
    <row r="8" spans="1:14" x14ac:dyDescent="0.2">
      <c r="A8" s="1086" t="s">
        <v>203</v>
      </c>
      <c r="B8" s="1087"/>
      <c r="C8" s="1088"/>
      <c r="D8" s="1088"/>
      <c r="E8" s="1089"/>
      <c r="F8" s="1088"/>
      <c r="G8" s="1088"/>
      <c r="H8" s="1088"/>
      <c r="I8" s="1088"/>
      <c r="J8" s="1088"/>
      <c r="K8" s="1088"/>
      <c r="L8" s="1090">
        <f t="shared" ref="L8:L14" si="0">+J8+K8</f>
        <v>0</v>
      </c>
      <c r="M8" s="1091" t="str">
        <f t="shared" ref="M8:M15" si="1">IF((C8&lt;&gt;0),ROUND((L8/C8)*100,1),"")</f>
        <v/>
      </c>
      <c r="N8" s="1170"/>
    </row>
    <row r="9" spans="1:14" x14ac:dyDescent="0.2">
      <c r="A9" s="1092" t="s">
        <v>206</v>
      </c>
      <c r="B9" s="1093"/>
      <c r="C9" s="1094"/>
      <c r="D9" s="1094"/>
      <c r="E9" s="1094"/>
      <c r="F9" s="1094"/>
      <c r="G9" s="1094"/>
      <c r="H9" s="1094"/>
      <c r="I9" s="1094"/>
      <c r="J9" s="1094"/>
      <c r="K9" s="1094"/>
      <c r="L9" s="1095">
        <f t="shared" si="0"/>
        <v>0</v>
      </c>
      <c r="M9" s="1096" t="str">
        <f t="shared" si="1"/>
        <v/>
      </c>
      <c r="N9" s="1170"/>
    </row>
    <row r="10" spans="1:14" x14ac:dyDescent="0.2">
      <c r="A10" s="1097" t="s">
        <v>207</v>
      </c>
      <c r="B10" s="1098">
        <f>18932847+370000</f>
        <v>19302847</v>
      </c>
      <c r="C10" s="1098">
        <v>19302847</v>
      </c>
      <c r="D10" s="1099">
        <v>18932847</v>
      </c>
      <c r="E10" s="1099">
        <v>18932847</v>
      </c>
      <c r="F10" s="1099">
        <v>0</v>
      </c>
      <c r="G10" s="1099">
        <v>0</v>
      </c>
      <c r="H10" s="1099">
        <v>370000</v>
      </c>
      <c r="I10" s="1099">
        <v>370000</v>
      </c>
      <c r="J10" s="1099">
        <v>18932847</v>
      </c>
      <c r="K10" s="1099">
        <v>0</v>
      </c>
      <c r="L10" s="1095">
        <f>SUM(J10:K10)</f>
        <v>18932847</v>
      </c>
      <c r="M10" s="1096">
        <f t="shared" si="1"/>
        <v>98.1</v>
      </c>
      <c r="N10" s="1170"/>
    </row>
    <row r="11" spans="1:14" x14ac:dyDescent="0.2">
      <c r="A11" s="1097" t="s">
        <v>208</v>
      </c>
      <c r="B11" s="1098"/>
      <c r="C11" s="1099"/>
      <c r="D11" s="1099"/>
      <c r="E11" s="1099"/>
      <c r="F11" s="1099"/>
      <c r="G11" s="1099"/>
      <c r="H11" s="1099"/>
      <c r="I11" s="1099"/>
      <c r="J11" s="1099"/>
      <c r="K11" s="1099"/>
      <c r="L11" s="1095">
        <f t="shared" si="0"/>
        <v>0</v>
      </c>
      <c r="M11" s="1096" t="str">
        <f t="shared" si="1"/>
        <v/>
      </c>
      <c r="N11" s="1170"/>
    </row>
    <row r="12" spans="1:14" x14ac:dyDescent="0.2">
      <c r="A12" s="1097" t="s">
        <v>209</v>
      </c>
      <c r="B12" s="1098"/>
      <c r="C12" s="1099"/>
      <c r="D12" s="1099"/>
      <c r="E12" s="1099"/>
      <c r="F12" s="1099"/>
      <c r="G12" s="1099"/>
      <c r="H12" s="1099"/>
      <c r="I12" s="1099"/>
      <c r="J12" s="1099"/>
      <c r="K12" s="1099"/>
      <c r="L12" s="1095">
        <f t="shared" si="0"/>
        <v>0</v>
      </c>
      <c r="M12" s="1096" t="str">
        <f t="shared" si="1"/>
        <v/>
      </c>
      <c r="N12" s="1170"/>
    </row>
    <row r="13" spans="1:14" x14ac:dyDescent="0.2">
      <c r="A13" s="1097" t="s">
        <v>210</v>
      </c>
      <c r="B13" s="1098"/>
      <c r="C13" s="1099"/>
      <c r="D13" s="1099"/>
      <c r="E13" s="1099"/>
      <c r="F13" s="1099"/>
      <c r="G13" s="1099"/>
      <c r="H13" s="1099"/>
      <c r="I13" s="1099"/>
      <c r="J13" s="1099"/>
      <c r="K13" s="1099"/>
      <c r="L13" s="1095">
        <f t="shared" si="0"/>
        <v>0</v>
      </c>
      <c r="M13" s="1096" t="str">
        <f t="shared" si="1"/>
        <v/>
      </c>
      <c r="N13" s="1170"/>
    </row>
    <row r="14" spans="1:14" ht="15" customHeight="1" thickBot="1" x14ac:dyDescent="0.25">
      <c r="A14" s="1100"/>
      <c r="B14" s="1101"/>
      <c r="C14" s="1102"/>
      <c r="D14" s="1102"/>
      <c r="E14" s="1102"/>
      <c r="F14" s="1102"/>
      <c r="G14" s="1102"/>
      <c r="H14" s="1102"/>
      <c r="I14" s="1102"/>
      <c r="J14" s="1102"/>
      <c r="K14" s="1102"/>
      <c r="L14" s="1095">
        <f t="shared" si="0"/>
        <v>0</v>
      </c>
      <c r="M14" s="1103" t="str">
        <f t="shared" si="1"/>
        <v/>
      </c>
      <c r="N14" s="1170"/>
    </row>
    <row r="15" spans="1:14" ht="13.5" thickBot="1" x14ac:dyDescent="0.25">
      <c r="A15" s="1104" t="s">
        <v>211</v>
      </c>
      <c r="B15" s="1105">
        <f t="shared" ref="B15:L15" si="2">B8+SUM(B10:B14)</f>
        <v>19302847</v>
      </c>
      <c r="C15" s="1105">
        <f t="shared" si="2"/>
        <v>19302847</v>
      </c>
      <c r="D15" s="1105">
        <f t="shared" si="2"/>
        <v>18932847</v>
      </c>
      <c r="E15" s="1105">
        <f t="shared" si="2"/>
        <v>18932847</v>
      </c>
      <c r="F15" s="1105">
        <f t="shared" si="2"/>
        <v>0</v>
      </c>
      <c r="G15" s="1105">
        <f t="shared" si="2"/>
        <v>0</v>
      </c>
      <c r="H15" s="1105">
        <f t="shared" si="2"/>
        <v>370000</v>
      </c>
      <c r="I15" s="1105">
        <f t="shared" si="2"/>
        <v>370000</v>
      </c>
      <c r="J15" s="1105">
        <f t="shared" si="2"/>
        <v>18932847</v>
      </c>
      <c r="K15" s="1105">
        <f t="shared" si="2"/>
        <v>0</v>
      </c>
      <c r="L15" s="1105">
        <f t="shared" si="2"/>
        <v>18932847</v>
      </c>
      <c r="M15" s="1064">
        <f t="shared" si="1"/>
        <v>98.1</v>
      </c>
      <c r="N15" s="1170"/>
    </row>
    <row r="16" spans="1:14" x14ac:dyDescent="0.2">
      <c r="A16" s="1107"/>
      <c r="B16" s="1108"/>
      <c r="C16" s="1109"/>
      <c r="D16" s="1109"/>
      <c r="E16" s="1109"/>
      <c r="F16" s="1109"/>
      <c r="G16" s="1109"/>
      <c r="H16" s="1109"/>
      <c r="I16" s="1109"/>
      <c r="J16" s="1109"/>
      <c r="K16" s="1109"/>
      <c r="L16" s="1109"/>
      <c r="M16" s="1109"/>
      <c r="N16" s="1170"/>
    </row>
    <row r="17" spans="1:14" ht="13.5" thickBot="1" x14ac:dyDescent="0.25">
      <c r="A17" s="1110" t="s">
        <v>212</v>
      </c>
      <c r="B17" s="1111"/>
      <c r="C17" s="1112"/>
      <c r="D17" s="1112"/>
      <c r="E17" s="1112"/>
      <c r="F17" s="1112"/>
      <c r="G17" s="1112"/>
      <c r="H17" s="1112"/>
      <c r="I17" s="1112"/>
      <c r="J17" s="1112"/>
      <c r="K17" s="1112"/>
      <c r="L17" s="1112"/>
      <c r="M17" s="1112"/>
      <c r="N17" s="1170"/>
    </row>
    <row r="18" spans="1:14" x14ac:dyDescent="0.2">
      <c r="A18" s="1113" t="s">
        <v>213</v>
      </c>
      <c r="B18" s="1098">
        <v>8190052</v>
      </c>
      <c r="C18" s="1098">
        <v>8190052</v>
      </c>
      <c r="D18" s="1088">
        <v>981854</v>
      </c>
      <c r="E18" s="1089">
        <v>504360</v>
      </c>
      <c r="F18" s="1088">
        <f>B18-D18-H18</f>
        <v>4341217</v>
      </c>
      <c r="G18" s="1088">
        <f>C18-(E18+I18)</f>
        <v>4818711</v>
      </c>
      <c r="H18" s="1088">
        <v>2866981</v>
      </c>
      <c r="I18" s="1088">
        <v>2866981</v>
      </c>
      <c r="J18" s="1088">
        <v>504360</v>
      </c>
      <c r="K18" s="1088">
        <v>4818711</v>
      </c>
      <c r="L18" s="1114">
        <f>J18+K18</f>
        <v>5323071</v>
      </c>
      <c r="M18" s="1091">
        <f t="shared" ref="M18:M24" si="3">IF((C18&lt;&gt;0),ROUND((L18/C18)*100,1),"")</f>
        <v>65</v>
      </c>
      <c r="N18" s="1170"/>
    </row>
    <row r="19" spans="1:14" x14ac:dyDescent="0.2">
      <c r="A19" s="1115" t="s">
        <v>214</v>
      </c>
      <c r="B19" s="1098">
        <v>3028467</v>
      </c>
      <c r="C19" s="1098">
        <f>+B19</f>
        <v>3028467</v>
      </c>
      <c r="D19" s="1099">
        <v>2412703</v>
      </c>
      <c r="E19" s="1099">
        <v>369700</v>
      </c>
      <c r="F19" s="1099">
        <v>615764</v>
      </c>
      <c r="G19" s="1099">
        <f>1078652+862464</f>
        <v>1941116</v>
      </c>
      <c r="H19" s="1099">
        <v>0</v>
      </c>
      <c r="I19" s="1099">
        <f>717651</f>
        <v>717651</v>
      </c>
      <c r="J19" s="1099">
        <v>369700</v>
      </c>
      <c r="K19" s="1099">
        <v>1078652</v>
      </c>
      <c r="L19" s="1116">
        <f>J19+K19</f>
        <v>1448352</v>
      </c>
      <c r="M19" s="1096">
        <f t="shared" si="3"/>
        <v>47.8</v>
      </c>
      <c r="N19" s="1170"/>
    </row>
    <row r="20" spans="1:14" x14ac:dyDescent="0.2">
      <c r="A20" s="1115" t="s">
        <v>215</v>
      </c>
      <c r="B20" s="1098">
        <v>5956428</v>
      </c>
      <c r="C20" s="1098">
        <f>+B20</f>
        <v>5956428</v>
      </c>
      <c r="D20" s="1099">
        <v>1585000</v>
      </c>
      <c r="E20" s="1099">
        <v>165000</v>
      </c>
      <c r="F20" s="1099">
        <f>C20-D20-H20</f>
        <v>2879957</v>
      </c>
      <c r="G20" s="1099">
        <f>2562421-862464</f>
        <v>1699957</v>
      </c>
      <c r="H20" s="1099">
        <f>4091471-2600000</f>
        <v>1491471</v>
      </c>
      <c r="I20" s="1099">
        <v>4091471</v>
      </c>
      <c r="J20" s="1099">
        <v>165000</v>
      </c>
      <c r="K20" s="1099">
        <v>2562421</v>
      </c>
      <c r="L20" s="1116">
        <f t="shared" ref="L20:L21" si="4">J20+K20</f>
        <v>2727421</v>
      </c>
      <c r="M20" s="1096">
        <f t="shared" si="3"/>
        <v>45.8</v>
      </c>
      <c r="N20" s="1170"/>
    </row>
    <row r="21" spans="1:14" x14ac:dyDescent="0.2">
      <c r="A21" s="1115" t="s">
        <v>216</v>
      </c>
      <c r="B21" s="1098">
        <v>1757900</v>
      </c>
      <c r="C21" s="1098">
        <v>1757900</v>
      </c>
      <c r="D21" s="1099">
        <v>1516845</v>
      </c>
      <c r="E21" s="1099">
        <v>71920</v>
      </c>
      <c r="F21" s="1099">
        <v>120500</v>
      </c>
      <c r="G21" s="1099">
        <v>285433</v>
      </c>
      <c r="H21" s="1099">
        <v>120555</v>
      </c>
      <c r="I21" s="1099">
        <v>1400547</v>
      </c>
      <c r="J21" s="1099">
        <v>71920</v>
      </c>
      <c r="K21" s="1099">
        <v>285433</v>
      </c>
      <c r="L21" s="1116">
        <f t="shared" si="4"/>
        <v>357353</v>
      </c>
      <c r="M21" s="1096">
        <f t="shared" si="3"/>
        <v>20.3</v>
      </c>
      <c r="N21" s="1170"/>
    </row>
    <row r="22" spans="1:14" x14ac:dyDescent="0.2">
      <c r="A22" s="1117" t="s">
        <v>789</v>
      </c>
      <c r="B22" s="1098">
        <v>370000</v>
      </c>
      <c r="C22" s="1098">
        <v>370000</v>
      </c>
      <c r="D22" s="1099">
        <v>0</v>
      </c>
      <c r="E22" s="1099">
        <v>0</v>
      </c>
      <c r="F22" s="1099">
        <f t="shared" ref="F22" si="5">C22-D22-H22</f>
        <v>0</v>
      </c>
      <c r="G22" s="1099">
        <v>0</v>
      </c>
      <c r="H22" s="1099">
        <v>370000</v>
      </c>
      <c r="I22" s="1099">
        <v>370000</v>
      </c>
      <c r="J22" s="1099">
        <v>0</v>
      </c>
      <c r="K22" s="1099">
        <v>0</v>
      </c>
      <c r="L22" s="1116">
        <v>0</v>
      </c>
      <c r="M22" s="1096">
        <f t="shared" si="3"/>
        <v>0</v>
      </c>
      <c r="N22" s="1170"/>
    </row>
    <row r="23" spans="1:14" ht="13.5" thickBot="1" x14ac:dyDescent="0.25">
      <c r="A23" s="1118"/>
      <c r="B23" s="1101"/>
      <c r="C23" s="1102"/>
      <c r="D23" s="1102"/>
      <c r="E23" s="1102"/>
      <c r="F23" s="1102"/>
      <c r="G23" s="1102"/>
      <c r="H23" s="1102"/>
      <c r="I23" s="1102"/>
      <c r="J23" s="1102"/>
      <c r="K23" s="1102"/>
      <c r="L23" s="1116">
        <f t="shared" ref="L23" si="6">+J23+K23</f>
        <v>0</v>
      </c>
      <c r="M23" s="1103" t="str">
        <f t="shared" si="3"/>
        <v/>
      </c>
      <c r="N23" s="1170"/>
    </row>
    <row r="24" spans="1:14" ht="13.5" thickBot="1" x14ac:dyDescent="0.25">
      <c r="A24" s="1119" t="s">
        <v>218</v>
      </c>
      <c r="B24" s="1105">
        <f t="shared" ref="B24:L24" si="7">SUM(B18:B23)</f>
        <v>19302847</v>
      </c>
      <c r="C24" s="1105">
        <f t="shared" si="7"/>
        <v>19302847</v>
      </c>
      <c r="D24" s="1105">
        <f t="shared" si="7"/>
        <v>6496402</v>
      </c>
      <c r="E24" s="1105">
        <f t="shared" si="7"/>
        <v>1110980</v>
      </c>
      <c r="F24" s="1105">
        <f t="shared" si="7"/>
        <v>7957438</v>
      </c>
      <c r="G24" s="1105">
        <f t="shared" si="7"/>
        <v>8745217</v>
      </c>
      <c r="H24" s="1105">
        <f t="shared" si="7"/>
        <v>4849007</v>
      </c>
      <c r="I24" s="1105">
        <f t="shared" si="7"/>
        <v>9446650</v>
      </c>
      <c r="J24" s="1105">
        <f t="shared" si="7"/>
        <v>1110980</v>
      </c>
      <c r="K24" s="1105">
        <f t="shared" si="7"/>
        <v>8745217</v>
      </c>
      <c r="L24" s="1105">
        <f t="shared" si="7"/>
        <v>9856197</v>
      </c>
      <c r="M24" s="1064">
        <f t="shared" si="3"/>
        <v>51.1</v>
      </c>
      <c r="N24" s="1170"/>
    </row>
    <row r="25" spans="1:14" x14ac:dyDescent="0.2">
      <c r="A25" s="1186" t="s">
        <v>674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1120"/>
      <c r="B26" s="1120"/>
      <c r="C26" s="1120"/>
      <c r="D26" s="1120"/>
      <c r="E26" s="1120"/>
      <c r="F26" s="1120"/>
      <c r="G26" s="1120"/>
      <c r="H26" s="1120"/>
      <c r="I26" s="1120"/>
      <c r="J26" s="1120"/>
      <c r="K26" s="1120"/>
      <c r="L26" s="1120"/>
      <c r="M26" s="1120"/>
      <c r="N26" s="1170"/>
    </row>
    <row r="27" spans="1:14" ht="15.75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1121"/>
      <c r="B28" s="1121"/>
      <c r="C28" s="1121"/>
      <c r="D28" s="1121"/>
      <c r="E28" s="1121"/>
      <c r="F28" s="1121"/>
      <c r="G28" s="1121"/>
      <c r="H28" s="1121"/>
      <c r="I28" s="1121"/>
      <c r="J28" s="1121"/>
      <c r="K28" s="1121"/>
      <c r="L28" s="1172" t="s">
        <v>490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122" t="s">
        <v>675</v>
      </c>
      <c r="L29" s="1122" t="s">
        <v>676</v>
      </c>
      <c r="M29" s="1122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1089"/>
      <c r="L30" s="1123"/>
      <c r="M30" s="1123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124"/>
      <c r="L31" s="1102"/>
      <c r="M31" s="110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125">
        <f>SUM(K30:K31)</f>
        <v>0</v>
      </c>
      <c r="L32" s="1125">
        <f>SUM(L30:L31)</f>
        <v>0</v>
      </c>
      <c r="M32" s="1125">
        <f>SUM(M30:M31)</f>
        <v>0</v>
      </c>
      <c r="N32" s="1170"/>
    </row>
    <row r="33" spans="1:14" x14ac:dyDescent="0.2">
      <c r="N33" s="1126"/>
    </row>
    <row r="35" spans="1:14" x14ac:dyDescent="0.2">
      <c r="F35" s="1065"/>
      <c r="G35" s="1065"/>
      <c r="H35" s="1065"/>
    </row>
    <row r="36" spans="1:14" x14ac:dyDescent="0.2">
      <c r="F36" s="1065"/>
      <c r="G36" s="1065"/>
      <c r="H36" s="1065"/>
    </row>
    <row r="37" spans="1:14" x14ac:dyDescent="0.2">
      <c r="F37" s="1065"/>
      <c r="G37" s="1065"/>
      <c r="H37" s="1065"/>
    </row>
    <row r="38" spans="1:14" x14ac:dyDescent="0.2">
      <c r="F38" s="1065"/>
      <c r="G38" s="1065"/>
      <c r="H38" s="1065"/>
    </row>
    <row r="39" spans="1:14" x14ac:dyDescent="0.2">
      <c r="F39" s="1065"/>
      <c r="G39" s="1065"/>
    </row>
    <row r="48" spans="1:14" x14ac:dyDescent="0.2">
      <c r="A48" s="1127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N48"/>
  <sheetViews>
    <sheetView zoomScaleNormal="130" zoomScaleSheetLayoutView="100" workbookViewId="0">
      <selection activeCell="D4" sqref="D4:I4"/>
    </sheetView>
  </sheetViews>
  <sheetFormatPr defaultColWidth="8" defaultRowHeight="12.75" x14ac:dyDescent="0.2"/>
  <cols>
    <col min="1" max="1" width="24.42578125" style="1080" customWidth="1"/>
    <col min="2" max="3" width="9.5703125" style="1080" bestFit="1" customWidth="1"/>
    <col min="4" max="5" width="8.5703125" style="1080" customWidth="1"/>
    <col min="6" max="7" width="9.5703125" style="1080" bestFit="1" customWidth="1"/>
    <col min="8" max="8" width="8.5703125" style="1080" customWidth="1"/>
    <col min="9" max="9" width="9.5703125" style="1080" bestFit="1" customWidth="1"/>
    <col min="10" max="13" width="8.5703125" style="1080" customWidth="1"/>
    <col min="14" max="14" width="3.42578125" style="1080" customWidth="1"/>
    <col min="15" max="16384" width="8" style="1080"/>
  </cols>
  <sheetData>
    <row r="1" spans="1:14" ht="59.45" customHeight="1" x14ac:dyDescent="0.25">
      <c r="A1" s="1167" t="s">
        <v>355</v>
      </c>
      <c r="B1" s="1167"/>
      <c r="C1" s="1167"/>
      <c r="D1" s="1193" t="s">
        <v>985</v>
      </c>
      <c r="E1" s="1193"/>
      <c r="F1" s="1193"/>
      <c r="G1" s="1193"/>
      <c r="H1" s="1193"/>
      <c r="I1" s="1193"/>
      <c r="J1" s="1193"/>
      <c r="K1" s="1193"/>
      <c r="L1" s="1193"/>
      <c r="M1" s="1193"/>
      <c r="N1" s="1170" t="s">
        <v>987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21.75" thickBot="1" x14ac:dyDescent="0.25">
      <c r="A5" s="1174"/>
      <c r="B5" s="1179"/>
      <c r="C5" s="1180"/>
      <c r="D5" s="1081" t="s">
        <v>222</v>
      </c>
      <c r="E5" s="1081" t="s">
        <v>223</v>
      </c>
      <c r="F5" s="1081" t="s">
        <v>222</v>
      </c>
      <c r="G5" s="1081" t="s">
        <v>223</v>
      </c>
      <c r="H5" s="1081" t="s">
        <v>222</v>
      </c>
      <c r="I5" s="1081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1082" t="str">
        <f>+D6</f>
        <v>2018. előtt</v>
      </c>
      <c r="K6" s="1081" t="str">
        <f>+F6</f>
        <v>2018. évi</v>
      </c>
      <c r="L6" s="1082" t="s">
        <v>248</v>
      </c>
      <c r="M6" s="1081" t="s">
        <v>804</v>
      </c>
      <c r="N6" s="1170"/>
    </row>
    <row r="7" spans="1:14" ht="13.5" thickBot="1" x14ac:dyDescent="0.25">
      <c r="A7" s="1083" t="s">
        <v>446</v>
      </c>
      <c r="B7" s="1082" t="s">
        <v>447</v>
      </c>
      <c r="C7" s="1082" t="s">
        <v>448</v>
      </c>
      <c r="D7" s="1084" t="s">
        <v>449</v>
      </c>
      <c r="E7" s="1081" t="s">
        <v>450</v>
      </c>
      <c r="F7" s="1081" t="s">
        <v>635</v>
      </c>
      <c r="G7" s="1081" t="s">
        <v>636</v>
      </c>
      <c r="H7" s="1082" t="s">
        <v>637</v>
      </c>
      <c r="I7" s="1084" t="s">
        <v>638</v>
      </c>
      <c r="J7" s="1084" t="s">
        <v>670</v>
      </c>
      <c r="K7" s="1084" t="s">
        <v>671</v>
      </c>
      <c r="L7" s="1084" t="s">
        <v>672</v>
      </c>
      <c r="M7" s="1085" t="s">
        <v>673</v>
      </c>
      <c r="N7" s="1170"/>
    </row>
    <row r="8" spans="1:14" x14ac:dyDescent="0.2">
      <c r="A8" s="1086" t="s">
        <v>203</v>
      </c>
      <c r="B8" s="1087"/>
      <c r="C8" s="1088"/>
      <c r="D8" s="1088"/>
      <c r="E8" s="1089"/>
      <c r="F8" s="1088"/>
      <c r="G8" s="1088"/>
      <c r="H8" s="1088"/>
      <c r="I8" s="1088"/>
      <c r="J8" s="1088"/>
      <c r="K8" s="1088"/>
      <c r="L8" s="1090">
        <f t="shared" ref="L8:L14" si="0">+J8+K8</f>
        <v>0</v>
      </c>
      <c r="M8" s="1091" t="str">
        <f t="shared" ref="M8:M15" si="1">IF((C8&lt;&gt;0),ROUND((L8/C8)*100,1),"")</f>
        <v/>
      </c>
      <c r="N8" s="1170"/>
    </row>
    <row r="9" spans="1:14" x14ac:dyDescent="0.2">
      <c r="A9" s="1092" t="s">
        <v>206</v>
      </c>
      <c r="B9" s="1093"/>
      <c r="C9" s="1094"/>
      <c r="D9" s="1094"/>
      <c r="E9" s="1094"/>
      <c r="F9" s="1094"/>
      <c r="G9" s="1094"/>
      <c r="H9" s="1094"/>
      <c r="I9" s="1094"/>
      <c r="J9" s="1094"/>
      <c r="K9" s="1094"/>
      <c r="L9" s="1095">
        <f t="shared" si="0"/>
        <v>0</v>
      </c>
      <c r="M9" s="1096" t="str">
        <f t="shared" si="1"/>
        <v/>
      </c>
      <c r="N9" s="1170"/>
    </row>
    <row r="10" spans="1:14" x14ac:dyDescent="0.2">
      <c r="A10" s="1097" t="s">
        <v>207</v>
      </c>
      <c r="B10" s="1098">
        <v>141036832</v>
      </c>
      <c r="C10" s="1098">
        <v>141036832</v>
      </c>
      <c r="D10" s="1099"/>
      <c r="E10" s="1099"/>
      <c r="F10" s="1099">
        <v>141036832</v>
      </c>
      <c r="G10" s="1099">
        <v>141036832</v>
      </c>
      <c r="H10" s="1099"/>
      <c r="I10" s="1099"/>
      <c r="J10" s="1099"/>
      <c r="K10" s="1099">
        <v>24509303</v>
      </c>
      <c r="L10" s="1095">
        <f>SUM(K10)</f>
        <v>24509303</v>
      </c>
      <c r="M10" s="1096">
        <f t="shared" si="1"/>
        <v>17.399999999999999</v>
      </c>
      <c r="N10" s="1170"/>
    </row>
    <row r="11" spans="1:14" x14ac:dyDescent="0.2">
      <c r="A11" s="1097" t="s">
        <v>208</v>
      </c>
      <c r="B11" s="1098"/>
      <c r="C11" s="1099"/>
      <c r="D11" s="1099"/>
      <c r="E11" s="1099"/>
      <c r="F11" s="1099"/>
      <c r="G11" s="1099"/>
      <c r="H11" s="1099"/>
      <c r="I11" s="1099"/>
      <c r="J11" s="1099"/>
      <c r="K11" s="1099"/>
      <c r="L11" s="1095">
        <f t="shared" si="0"/>
        <v>0</v>
      </c>
      <c r="M11" s="1096" t="str">
        <f t="shared" si="1"/>
        <v/>
      </c>
      <c r="N11" s="1170"/>
    </row>
    <row r="12" spans="1:14" x14ac:dyDescent="0.2">
      <c r="A12" s="1097" t="s">
        <v>209</v>
      </c>
      <c r="B12" s="1098"/>
      <c r="C12" s="1099"/>
      <c r="D12" s="1099"/>
      <c r="E12" s="1099"/>
      <c r="F12" s="1099"/>
      <c r="G12" s="1099"/>
      <c r="H12" s="1099"/>
      <c r="I12" s="1099"/>
      <c r="J12" s="1099"/>
      <c r="K12" s="1099"/>
      <c r="L12" s="1095">
        <f t="shared" si="0"/>
        <v>0</v>
      </c>
      <c r="M12" s="1096" t="str">
        <f t="shared" si="1"/>
        <v/>
      </c>
      <c r="N12" s="1170"/>
    </row>
    <row r="13" spans="1:14" x14ac:dyDescent="0.2">
      <c r="A13" s="1097" t="s">
        <v>210</v>
      </c>
      <c r="B13" s="1098"/>
      <c r="C13" s="1099"/>
      <c r="D13" s="1099"/>
      <c r="E13" s="1099"/>
      <c r="F13" s="1099"/>
      <c r="G13" s="1099"/>
      <c r="H13" s="1099"/>
      <c r="I13" s="1099"/>
      <c r="J13" s="1099"/>
      <c r="K13" s="1099"/>
      <c r="L13" s="1095">
        <f t="shared" si="0"/>
        <v>0</v>
      </c>
      <c r="M13" s="1096" t="str">
        <f t="shared" si="1"/>
        <v/>
      </c>
      <c r="N13" s="1170"/>
    </row>
    <row r="14" spans="1:14" ht="15" customHeight="1" thickBot="1" x14ac:dyDescent="0.25">
      <c r="A14" s="1100"/>
      <c r="B14" s="1101"/>
      <c r="C14" s="1102"/>
      <c r="D14" s="1102"/>
      <c r="E14" s="1102"/>
      <c r="F14" s="1102"/>
      <c r="G14" s="1102"/>
      <c r="H14" s="1102"/>
      <c r="I14" s="1102"/>
      <c r="J14" s="1102"/>
      <c r="K14" s="1102"/>
      <c r="L14" s="1095">
        <f t="shared" si="0"/>
        <v>0</v>
      </c>
      <c r="M14" s="1103" t="str">
        <f t="shared" si="1"/>
        <v/>
      </c>
      <c r="N14" s="1170"/>
    </row>
    <row r="15" spans="1:14" ht="13.5" thickBot="1" x14ac:dyDescent="0.25">
      <c r="A15" s="1104" t="s">
        <v>211</v>
      </c>
      <c r="B15" s="1105">
        <f t="shared" ref="B15:L15" si="2">B8+SUM(B10:B14)</f>
        <v>141036832</v>
      </c>
      <c r="C15" s="1105">
        <f t="shared" si="2"/>
        <v>141036832</v>
      </c>
      <c r="D15" s="1105">
        <f t="shared" si="2"/>
        <v>0</v>
      </c>
      <c r="E15" s="1105">
        <f t="shared" si="2"/>
        <v>0</v>
      </c>
      <c r="F15" s="1105">
        <f t="shared" si="2"/>
        <v>141036832</v>
      </c>
      <c r="G15" s="1105">
        <f t="shared" si="2"/>
        <v>141036832</v>
      </c>
      <c r="H15" s="1105">
        <f t="shared" si="2"/>
        <v>0</v>
      </c>
      <c r="I15" s="1105">
        <f t="shared" si="2"/>
        <v>0</v>
      </c>
      <c r="J15" s="1105">
        <f t="shared" si="2"/>
        <v>0</v>
      </c>
      <c r="K15" s="1105">
        <f t="shared" si="2"/>
        <v>24509303</v>
      </c>
      <c r="L15" s="1105">
        <f t="shared" si="2"/>
        <v>24509303</v>
      </c>
      <c r="M15" s="1106">
        <f t="shared" si="1"/>
        <v>17.399999999999999</v>
      </c>
      <c r="N15" s="1170"/>
    </row>
    <row r="16" spans="1:14" x14ac:dyDescent="0.2">
      <c r="A16" s="1107"/>
      <c r="B16" s="1108"/>
      <c r="C16" s="1109"/>
      <c r="D16" s="1109"/>
      <c r="E16" s="1109"/>
      <c r="F16" s="1109"/>
      <c r="G16" s="1109"/>
      <c r="H16" s="1109"/>
      <c r="I16" s="1109"/>
      <c r="J16" s="1109"/>
      <c r="K16" s="1109"/>
      <c r="L16" s="1109"/>
      <c r="M16" s="1109"/>
      <c r="N16" s="1170"/>
    </row>
    <row r="17" spans="1:14" ht="13.5" thickBot="1" x14ac:dyDescent="0.25">
      <c r="A17" s="1110" t="s">
        <v>212</v>
      </c>
      <c r="B17" s="1111"/>
      <c r="C17" s="1112"/>
      <c r="D17" s="1112"/>
      <c r="E17" s="1112"/>
      <c r="F17" s="1112"/>
      <c r="G17" s="1112"/>
      <c r="H17" s="1112"/>
      <c r="I17" s="1112"/>
      <c r="J17" s="1112"/>
      <c r="K17" s="1112"/>
      <c r="L17" s="1112"/>
      <c r="M17" s="1112"/>
      <c r="N17" s="1170"/>
    </row>
    <row r="18" spans="1:14" x14ac:dyDescent="0.2">
      <c r="A18" s="1113" t="s">
        <v>213</v>
      </c>
      <c r="B18" s="1098">
        <v>7655256</v>
      </c>
      <c r="C18" s="1098">
        <v>7655256</v>
      </c>
      <c r="D18" s="1088"/>
      <c r="E18" s="1089"/>
      <c r="F18" s="1088">
        <v>2187216</v>
      </c>
      <c r="G18" s="1088">
        <v>546804</v>
      </c>
      <c r="H18" s="1088">
        <v>5468040</v>
      </c>
      <c r="I18" s="1088">
        <v>7108452</v>
      </c>
      <c r="J18" s="1088"/>
      <c r="K18" s="1088">
        <v>546804</v>
      </c>
      <c r="L18" s="1114">
        <v>546804</v>
      </c>
      <c r="M18" s="1091">
        <f t="shared" ref="M18:M24" si="3">IF((C18&lt;&gt;0),ROUND((L18/C18)*100,1),"")</f>
        <v>7.1</v>
      </c>
      <c r="N18" s="1170"/>
    </row>
    <row r="19" spans="1:14" x14ac:dyDescent="0.2">
      <c r="A19" s="1115" t="s">
        <v>214</v>
      </c>
      <c r="B19" s="1098">
        <v>47145076</v>
      </c>
      <c r="C19" s="1098">
        <v>47145076</v>
      </c>
      <c r="D19" s="1099"/>
      <c r="E19" s="1099"/>
      <c r="F19" s="1099">
        <v>47145076</v>
      </c>
      <c r="G19" s="1099"/>
      <c r="H19" s="1099"/>
      <c r="I19" s="1099">
        <v>47145076</v>
      </c>
      <c r="J19" s="1099"/>
      <c r="K19" s="1099"/>
      <c r="L19" s="1116"/>
      <c r="M19" s="1096">
        <f t="shared" si="3"/>
        <v>0</v>
      </c>
      <c r="N19" s="1170"/>
    </row>
    <row r="20" spans="1:14" x14ac:dyDescent="0.2">
      <c r="A20" s="1115" t="s">
        <v>215</v>
      </c>
      <c r="B20" s="1098">
        <v>86236500</v>
      </c>
      <c r="C20" s="1098">
        <v>86236500</v>
      </c>
      <c r="D20" s="1099">
        <v>635000</v>
      </c>
      <c r="E20" s="1099">
        <v>635000</v>
      </c>
      <c r="F20" s="1099">
        <v>34658761</v>
      </c>
      <c r="G20" s="1099">
        <v>6921500</v>
      </c>
      <c r="H20" s="1099">
        <v>50942739</v>
      </c>
      <c r="I20" s="1099">
        <v>78680000</v>
      </c>
      <c r="J20" s="1099">
        <v>635000</v>
      </c>
      <c r="K20" s="1099">
        <v>6921500</v>
      </c>
      <c r="L20" s="1116">
        <v>7556500</v>
      </c>
      <c r="M20" s="1096">
        <f t="shared" si="3"/>
        <v>8.8000000000000007</v>
      </c>
      <c r="N20" s="1170"/>
    </row>
    <row r="21" spans="1:14" x14ac:dyDescent="0.2">
      <c r="A21" s="1115" t="s">
        <v>216</v>
      </c>
      <c r="B21" s="1098"/>
      <c r="C21" s="1098"/>
      <c r="D21" s="1099"/>
      <c r="E21" s="1099"/>
      <c r="F21" s="1099"/>
      <c r="G21" s="1099"/>
      <c r="H21" s="1099"/>
      <c r="I21" s="1099"/>
      <c r="J21" s="1099"/>
      <c r="K21" s="1099"/>
      <c r="L21" s="1116"/>
      <c r="M21" s="1096" t="str">
        <f t="shared" si="3"/>
        <v/>
      </c>
      <c r="N21" s="1170"/>
    </row>
    <row r="22" spans="1:14" x14ac:dyDescent="0.2">
      <c r="A22" s="1117" t="s">
        <v>789</v>
      </c>
      <c r="B22" s="1098"/>
      <c r="C22" s="1098"/>
      <c r="D22" s="1099"/>
      <c r="E22" s="1099"/>
      <c r="F22" s="1099"/>
      <c r="G22" s="1099"/>
      <c r="H22" s="1099"/>
      <c r="I22" s="1099"/>
      <c r="J22" s="1099"/>
      <c r="K22" s="1099"/>
      <c r="L22" s="1116"/>
      <c r="M22" s="1096" t="str">
        <f t="shared" si="3"/>
        <v/>
      </c>
      <c r="N22" s="1170"/>
    </row>
    <row r="23" spans="1:14" ht="13.5" thickBot="1" x14ac:dyDescent="0.25">
      <c r="A23" s="1118"/>
      <c r="B23" s="1101"/>
      <c r="C23" s="1102"/>
      <c r="D23" s="1102"/>
      <c r="E23" s="1102"/>
      <c r="F23" s="1102"/>
      <c r="G23" s="1102"/>
      <c r="H23" s="1102"/>
      <c r="I23" s="1102"/>
      <c r="J23" s="1102"/>
      <c r="K23" s="1102"/>
      <c r="L23" s="1116">
        <f t="shared" ref="L23" si="4">+J23+K23</f>
        <v>0</v>
      </c>
      <c r="M23" s="1103" t="str">
        <f t="shared" si="3"/>
        <v/>
      </c>
      <c r="N23" s="1170"/>
    </row>
    <row r="24" spans="1:14" ht="13.5" thickBot="1" x14ac:dyDescent="0.25">
      <c r="A24" s="1119" t="s">
        <v>218</v>
      </c>
      <c r="B24" s="1105">
        <f t="shared" ref="B24:L24" si="5">SUM(B18:B23)</f>
        <v>141036832</v>
      </c>
      <c r="C24" s="1105">
        <f t="shared" si="5"/>
        <v>141036832</v>
      </c>
      <c r="D24" s="1105">
        <f t="shared" si="5"/>
        <v>635000</v>
      </c>
      <c r="E24" s="1105">
        <f t="shared" si="5"/>
        <v>635000</v>
      </c>
      <c r="F24" s="1105">
        <f t="shared" si="5"/>
        <v>83991053</v>
      </c>
      <c r="G24" s="1105">
        <f t="shared" si="5"/>
        <v>7468304</v>
      </c>
      <c r="H24" s="1105">
        <f t="shared" si="5"/>
        <v>56410779</v>
      </c>
      <c r="I24" s="1105">
        <f t="shared" si="5"/>
        <v>132933528</v>
      </c>
      <c r="J24" s="1105">
        <f t="shared" si="5"/>
        <v>635000</v>
      </c>
      <c r="K24" s="1105">
        <f t="shared" si="5"/>
        <v>7468304</v>
      </c>
      <c r="L24" s="1105">
        <f t="shared" si="5"/>
        <v>8103304</v>
      </c>
      <c r="M24" s="1106">
        <f t="shared" si="3"/>
        <v>5.7</v>
      </c>
      <c r="N24" s="1170"/>
    </row>
    <row r="25" spans="1:14" x14ac:dyDescent="0.2">
      <c r="A25" s="1186" t="s">
        <v>674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1120"/>
      <c r="B26" s="1120"/>
      <c r="C26" s="1120"/>
      <c r="D26" s="1120"/>
      <c r="E26" s="1120"/>
      <c r="F26" s="1120"/>
      <c r="G26" s="1120"/>
      <c r="H26" s="1120"/>
      <c r="I26" s="1120"/>
      <c r="J26" s="1120"/>
      <c r="K26" s="1120"/>
      <c r="L26" s="1120"/>
      <c r="M26" s="1120"/>
      <c r="N26" s="1170"/>
    </row>
    <row r="27" spans="1:14" ht="15.75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1121"/>
      <c r="B28" s="1121"/>
      <c r="C28" s="1121"/>
      <c r="D28" s="1121"/>
      <c r="E28" s="1121"/>
      <c r="F28" s="1121"/>
      <c r="G28" s="1121"/>
      <c r="H28" s="1121"/>
      <c r="I28" s="1121"/>
      <c r="J28" s="1121"/>
      <c r="K28" s="1121"/>
      <c r="L28" s="1172" t="s">
        <v>490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122" t="s">
        <v>675</v>
      </c>
      <c r="L29" s="1122" t="s">
        <v>676</v>
      </c>
      <c r="M29" s="1122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1089"/>
      <c r="L30" s="1123"/>
      <c r="M30" s="1123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124"/>
      <c r="L31" s="1102"/>
      <c r="M31" s="110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125">
        <f>SUM(K30:K31)</f>
        <v>0</v>
      </c>
      <c r="L32" s="1125">
        <f>SUM(L30:L31)</f>
        <v>0</v>
      </c>
      <c r="M32" s="1125">
        <f>SUM(M30:M31)</f>
        <v>0</v>
      </c>
      <c r="N32" s="1170"/>
    </row>
    <row r="33" spans="1:14" x14ac:dyDescent="0.2">
      <c r="N33" s="1126"/>
    </row>
    <row r="48" spans="1:14" x14ac:dyDescent="0.2">
      <c r="A48" s="1127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2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6"/>
    <pageSetUpPr fitToPage="1"/>
  </sheetPr>
  <dimension ref="A1:K151"/>
  <sheetViews>
    <sheetView topLeftCell="A118" zoomScaleNormal="100" zoomScaleSheetLayoutView="100" workbookViewId="0">
      <selection activeCell="B8" sqref="B8"/>
    </sheetView>
  </sheetViews>
  <sheetFormatPr defaultColWidth="8" defaultRowHeight="12.75" x14ac:dyDescent="0.2"/>
  <cols>
    <col min="1" max="1" width="12.7109375" style="232" customWidth="1"/>
    <col min="2" max="2" width="56" style="233" customWidth="1"/>
    <col min="3" max="5" width="14.5703125" style="234" customWidth="1"/>
    <col min="6" max="6" width="8" style="191"/>
    <col min="7" max="7" width="10.85546875" style="191" bestFit="1" customWidth="1"/>
    <col min="8" max="16384" width="8" style="191"/>
  </cols>
  <sheetData>
    <row r="1" spans="1:5" s="180" customFormat="1" ht="16.5" customHeight="1" thickBot="1" x14ac:dyDescent="0.25">
      <c r="A1" s="176"/>
      <c r="B1" s="177"/>
      <c r="C1" s="178"/>
      <c r="D1" s="179"/>
      <c r="E1" s="178" t="s">
        <v>830</v>
      </c>
    </row>
    <row r="2" spans="1:5" s="183" customFormat="1" ht="15.75" customHeight="1" x14ac:dyDescent="0.2">
      <c r="A2" s="181" t="s">
        <v>220</v>
      </c>
      <c r="B2" s="1199" t="s">
        <v>677</v>
      </c>
      <c r="C2" s="1200"/>
      <c r="D2" s="1201"/>
      <c r="E2" s="182" t="s">
        <v>678</v>
      </c>
    </row>
    <row r="3" spans="1:5" s="183" customFormat="1" ht="24.75" thickBot="1" x14ac:dyDescent="0.25">
      <c r="A3" s="184" t="s">
        <v>679</v>
      </c>
      <c r="B3" s="1202" t="s">
        <v>680</v>
      </c>
      <c r="C3" s="1203"/>
      <c r="D3" s="1204"/>
      <c r="E3" s="185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24" t="s">
        <v>681</v>
      </c>
      <c r="B5" s="23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6" customFormat="1" ht="12" customHeight="1" thickBot="1" x14ac:dyDescent="0.25">
      <c r="A8" s="1" t="s">
        <v>228</v>
      </c>
      <c r="B8" s="5" t="s">
        <v>451</v>
      </c>
      <c r="C8" s="32">
        <f>SUM(C9:C14)</f>
        <v>1317581468</v>
      </c>
      <c r="D8" s="32">
        <f>SUM(D9:D14)</f>
        <v>1170233686</v>
      </c>
      <c r="E8" s="33">
        <f>SUM(E9:E14)</f>
        <v>1170233686</v>
      </c>
    </row>
    <row r="9" spans="1:5" s="198" customFormat="1" ht="12" customHeight="1" x14ac:dyDescent="0.2">
      <c r="A9" s="197" t="s">
        <v>330</v>
      </c>
      <c r="B9" s="35" t="s">
        <v>453</v>
      </c>
      <c r="C9" s="763">
        <v>227855923</v>
      </c>
      <c r="D9" s="73">
        <v>228389971</v>
      </c>
      <c r="E9" s="37">
        <v>228389971</v>
      </c>
    </row>
    <row r="10" spans="1:5" s="200" customFormat="1" ht="12" customHeight="1" x14ac:dyDescent="0.2">
      <c r="A10" s="199" t="s">
        <v>332</v>
      </c>
      <c r="B10" s="38" t="s">
        <v>454</v>
      </c>
      <c r="C10" s="764">
        <v>224734134</v>
      </c>
      <c r="D10" s="724">
        <v>227307468</v>
      </c>
      <c r="E10" s="40">
        <v>227307468</v>
      </c>
    </row>
    <row r="11" spans="1:5" s="200" customFormat="1" ht="12" customHeight="1" x14ac:dyDescent="0.2">
      <c r="A11" s="199" t="s">
        <v>333</v>
      </c>
      <c r="B11" s="38" t="s">
        <v>455</v>
      </c>
      <c r="C11" s="764">
        <v>565964345</v>
      </c>
      <c r="D11" s="724">
        <v>660574907</v>
      </c>
      <c r="E11" s="40">
        <v>660574907</v>
      </c>
    </row>
    <row r="12" spans="1:5" s="200" customFormat="1" ht="12" customHeight="1" x14ac:dyDescent="0.2">
      <c r="A12" s="199" t="s">
        <v>335</v>
      </c>
      <c r="B12" s="38" t="s">
        <v>456</v>
      </c>
      <c r="C12" s="764">
        <v>28744040</v>
      </c>
      <c r="D12" s="724">
        <v>34596226</v>
      </c>
      <c r="E12" s="40">
        <v>34596226</v>
      </c>
    </row>
    <row r="13" spans="1:5" s="200" customFormat="1" ht="12" customHeight="1" x14ac:dyDescent="0.2">
      <c r="A13" s="199" t="s">
        <v>457</v>
      </c>
      <c r="B13" s="38" t="s">
        <v>491</v>
      </c>
      <c r="C13" s="764">
        <v>270283026</v>
      </c>
      <c r="D13" s="724">
        <v>19365114</v>
      </c>
      <c r="E13" s="40">
        <v>19365114</v>
      </c>
    </row>
    <row r="14" spans="1:5" s="198" customFormat="1" ht="12" customHeight="1" thickBot="1" x14ac:dyDescent="0.25">
      <c r="A14" s="201" t="s">
        <v>337</v>
      </c>
      <c r="B14" s="45" t="s">
        <v>492</v>
      </c>
      <c r="C14" s="42"/>
      <c r="D14" s="42"/>
      <c r="E14" s="43"/>
    </row>
    <row r="15" spans="1:5" s="198" customFormat="1" ht="12" customHeight="1" thickBot="1" x14ac:dyDescent="0.25">
      <c r="A15" s="1" t="s">
        <v>234</v>
      </c>
      <c r="B15" s="44" t="s">
        <v>460</v>
      </c>
      <c r="C15" s="32">
        <f>SUM(C16:C20)</f>
        <v>158357110</v>
      </c>
      <c r="D15" s="32">
        <f>SUM(D16:D20)</f>
        <v>251645435</v>
      </c>
      <c r="E15" s="33">
        <f>SUM(E16:E20)</f>
        <v>187913216</v>
      </c>
    </row>
    <row r="16" spans="1:5" s="198" customFormat="1" ht="12" customHeight="1" x14ac:dyDescent="0.2">
      <c r="A16" s="197" t="s">
        <v>344</v>
      </c>
      <c r="B16" s="35" t="s">
        <v>461</v>
      </c>
      <c r="C16" s="36"/>
      <c r="D16" s="36"/>
      <c r="E16" s="37"/>
    </row>
    <row r="17" spans="1:5" s="198" customFormat="1" ht="12" customHeight="1" x14ac:dyDescent="0.2">
      <c r="A17" s="199" t="s">
        <v>345</v>
      </c>
      <c r="B17" s="38" t="s">
        <v>462</v>
      </c>
      <c r="C17" s="39"/>
      <c r="D17" s="39"/>
      <c r="E17" s="40"/>
    </row>
    <row r="18" spans="1:5" s="198" customFormat="1" ht="12" customHeight="1" x14ac:dyDescent="0.2">
      <c r="A18" s="199" t="s">
        <v>346</v>
      </c>
      <c r="B18" s="38" t="s">
        <v>463</v>
      </c>
      <c r="C18" s="39"/>
      <c r="D18" s="39"/>
      <c r="E18" s="40"/>
    </row>
    <row r="19" spans="1:5" s="198" customFormat="1" ht="12" customHeight="1" x14ac:dyDescent="0.2">
      <c r="A19" s="199" t="s">
        <v>347</v>
      </c>
      <c r="B19" s="38" t="s">
        <v>464</v>
      </c>
      <c r="C19" s="39"/>
      <c r="D19" s="39"/>
      <c r="E19" s="40"/>
    </row>
    <row r="20" spans="1:5" s="198" customFormat="1" ht="12" customHeight="1" x14ac:dyDescent="0.2">
      <c r="A20" s="199" t="s">
        <v>348</v>
      </c>
      <c r="B20" s="38" t="s">
        <v>465</v>
      </c>
      <c r="C20" s="39">
        <v>158357110</v>
      </c>
      <c r="D20" s="39">
        <v>251645435</v>
      </c>
      <c r="E20" s="40">
        <v>187913216</v>
      </c>
    </row>
    <row r="21" spans="1:5" s="200" customFormat="1" ht="12" customHeight="1" thickBot="1" x14ac:dyDescent="0.25">
      <c r="A21" s="201" t="s">
        <v>349</v>
      </c>
      <c r="B21" s="45" t="s">
        <v>466</v>
      </c>
      <c r="C21" s="42"/>
      <c r="D21" s="42">
        <v>85531256</v>
      </c>
      <c r="E21" s="43">
        <v>24509303</v>
      </c>
    </row>
    <row r="22" spans="1:5" s="200" customFormat="1" ht="12" customHeight="1" thickBot="1" x14ac:dyDescent="0.25">
      <c r="A22" s="1" t="s">
        <v>235</v>
      </c>
      <c r="B22" s="5" t="s">
        <v>467</v>
      </c>
      <c r="C22" s="32">
        <f>SUM(C23:C27)</f>
        <v>13442271</v>
      </c>
      <c r="D22" s="32">
        <f>SUM(D23:D27)</f>
        <v>78421454</v>
      </c>
      <c r="E22" s="33">
        <f>SUM(E23:E27)</f>
        <v>22857638</v>
      </c>
    </row>
    <row r="23" spans="1:5" s="200" customFormat="1" ht="12" customHeight="1" x14ac:dyDescent="0.2">
      <c r="A23" s="197" t="s">
        <v>312</v>
      </c>
      <c r="B23" s="35" t="s">
        <v>468</v>
      </c>
      <c r="C23" s="36"/>
      <c r="D23" s="36">
        <v>19753000</v>
      </c>
      <c r="E23" s="37">
        <v>19753000</v>
      </c>
    </row>
    <row r="24" spans="1:5" s="198" customFormat="1" ht="12" customHeight="1" x14ac:dyDescent="0.2">
      <c r="A24" s="199" t="s">
        <v>313</v>
      </c>
      <c r="B24" s="38" t="s">
        <v>469</v>
      </c>
      <c r="C24" s="39"/>
      <c r="D24" s="39"/>
      <c r="E24" s="40"/>
    </row>
    <row r="25" spans="1:5" s="200" customFormat="1" ht="12" customHeight="1" x14ac:dyDescent="0.2">
      <c r="A25" s="199" t="s">
        <v>315</v>
      </c>
      <c r="B25" s="38" t="s">
        <v>470</v>
      </c>
      <c r="C25" s="39"/>
      <c r="D25" s="39"/>
      <c r="E25" s="40"/>
    </row>
    <row r="26" spans="1:5" s="200" customFormat="1" ht="12" customHeight="1" x14ac:dyDescent="0.2">
      <c r="A26" s="199" t="s">
        <v>316</v>
      </c>
      <c r="B26" s="38" t="s">
        <v>471</v>
      </c>
      <c r="C26" s="39"/>
      <c r="D26" s="39"/>
      <c r="E26" s="40"/>
    </row>
    <row r="27" spans="1:5" s="200" customFormat="1" ht="12" customHeight="1" x14ac:dyDescent="0.2">
      <c r="A27" s="199" t="s">
        <v>425</v>
      </c>
      <c r="B27" s="38" t="s">
        <v>472</v>
      </c>
      <c r="C27" s="39">
        <v>13442271</v>
      </c>
      <c r="D27" s="39">
        <v>58668454</v>
      </c>
      <c r="E27" s="40">
        <v>3104638</v>
      </c>
    </row>
    <row r="28" spans="1:5" s="200" customFormat="1" ht="12" customHeight="1" thickBot="1" x14ac:dyDescent="0.25">
      <c r="A28" s="201" t="s">
        <v>426</v>
      </c>
      <c r="B28" s="41" t="s">
        <v>473</v>
      </c>
      <c r="C28" s="42">
        <v>13442271</v>
      </c>
      <c r="D28" s="42">
        <v>58668454</v>
      </c>
      <c r="E28" s="43">
        <v>3104638</v>
      </c>
    </row>
    <row r="29" spans="1:5" s="200" customFormat="1" ht="12" customHeight="1" thickBot="1" x14ac:dyDescent="0.25">
      <c r="A29" s="1" t="s">
        <v>427</v>
      </c>
      <c r="B29" s="5" t="s">
        <v>765</v>
      </c>
      <c r="C29" s="46">
        <f>+C30+C34+C35+C36</f>
        <v>352658000</v>
      </c>
      <c r="D29" s="46">
        <f>+D30+D34+D35+D36</f>
        <v>402108000</v>
      </c>
      <c r="E29" s="46">
        <f>+E30+E34+E35+E36</f>
        <v>401728642</v>
      </c>
    </row>
    <row r="30" spans="1:5" s="200" customFormat="1" ht="12" customHeight="1" x14ac:dyDescent="0.2">
      <c r="A30" s="197" t="s">
        <v>317</v>
      </c>
      <c r="B30" s="35" t="s">
        <v>883</v>
      </c>
      <c r="C30" s="48">
        <v>308654000</v>
      </c>
      <c r="D30" s="48">
        <v>361554000</v>
      </c>
      <c r="E30" s="48">
        <f>SUM(E31:E33)</f>
        <v>361336314</v>
      </c>
    </row>
    <row r="31" spans="1:5" s="200" customFormat="1" ht="12" customHeight="1" x14ac:dyDescent="0.2">
      <c r="A31" s="199" t="s">
        <v>475</v>
      </c>
      <c r="B31" s="38" t="s">
        <v>476</v>
      </c>
      <c r="C31" s="39">
        <v>77500000</v>
      </c>
      <c r="D31" s="39">
        <v>76900000</v>
      </c>
      <c r="E31" s="40">
        <v>76659666</v>
      </c>
    </row>
    <row r="32" spans="1:5" s="200" customFormat="1" ht="12" customHeight="1" x14ac:dyDescent="0.2">
      <c r="A32" s="199" t="s">
        <v>477</v>
      </c>
      <c r="B32" s="719" t="s">
        <v>884</v>
      </c>
      <c r="C32" s="39">
        <v>231154000</v>
      </c>
      <c r="D32" s="39">
        <v>284654000</v>
      </c>
      <c r="E32" s="40">
        <v>284609138</v>
      </c>
    </row>
    <row r="33" spans="1:5" s="200" customFormat="1" ht="12" customHeight="1" x14ac:dyDescent="0.2">
      <c r="A33" s="199" t="s">
        <v>185</v>
      </c>
      <c r="B33" s="719" t="s">
        <v>885</v>
      </c>
      <c r="C33" s="39"/>
      <c r="D33" s="39"/>
      <c r="E33" s="40">
        <v>67510</v>
      </c>
    </row>
    <row r="34" spans="1:5" s="200" customFormat="1" ht="12" customHeight="1" x14ac:dyDescent="0.2">
      <c r="A34" s="199" t="s">
        <v>318</v>
      </c>
      <c r="B34" s="38" t="s">
        <v>480</v>
      </c>
      <c r="C34" s="39">
        <v>28000000</v>
      </c>
      <c r="D34" s="39">
        <v>30050000</v>
      </c>
      <c r="E34" s="40">
        <v>30048092</v>
      </c>
    </row>
    <row r="35" spans="1:5" s="200" customFormat="1" ht="12" customHeight="1" x14ac:dyDescent="0.2">
      <c r="A35" s="199" t="s">
        <v>481</v>
      </c>
      <c r="B35" s="38" t="s">
        <v>482</v>
      </c>
      <c r="C35" s="39">
        <v>4504000</v>
      </c>
      <c r="D35" s="39">
        <v>4000</v>
      </c>
      <c r="E35" s="40"/>
    </row>
    <row r="36" spans="1:5" s="200" customFormat="1" ht="12" customHeight="1" thickBot="1" x14ac:dyDescent="0.25">
      <c r="A36" s="199" t="s">
        <v>760</v>
      </c>
      <c r="B36" s="38" t="s">
        <v>483</v>
      </c>
      <c r="C36" s="39">
        <v>11500000</v>
      </c>
      <c r="D36" s="39">
        <v>10500000</v>
      </c>
      <c r="E36" s="40">
        <v>10344236</v>
      </c>
    </row>
    <row r="37" spans="1:5" s="200" customFormat="1" ht="12" customHeight="1" thickBot="1" x14ac:dyDescent="0.25">
      <c r="A37" s="1" t="s">
        <v>237</v>
      </c>
      <c r="B37" s="5" t="s">
        <v>484</v>
      </c>
      <c r="C37" s="32">
        <f>SUM(C38:C48)</f>
        <v>40284669</v>
      </c>
      <c r="D37" s="32">
        <f>SUM(D38:D48)</f>
        <v>58671284</v>
      </c>
      <c r="E37" s="32">
        <f>SUM(E38:E48)</f>
        <v>58066795</v>
      </c>
    </row>
    <row r="38" spans="1:5" s="200" customFormat="1" ht="12" customHeight="1" x14ac:dyDescent="0.2">
      <c r="A38" s="197" t="s">
        <v>319</v>
      </c>
      <c r="B38" s="35" t="s">
        <v>485</v>
      </c>
      <c r="C38" s="36">
        <v>12159000</v>
      </c>
      <c r="D38" s="36">
        <v>13199220</v>
      </c>
      <c r="E38" s="37">
        <v>13205755</v>
      </c>
    </row>
    <row r="39" spans="1:5" s="200" customFormat="1" ht="12" customHeight="1" x14ac:dyDescent="0.2">
      <c r="A39" s="199" t="s">
        <v>320</v>
      </c>
      <c r="B39" s="38" t="s">
        <v>496</v>
      </c>
      <c r="C39" s="39">
        <v>14010169</v>
      </c>
      <c r="D39" s="39">
        <v>24575753</v>
      </c>
      <c r="E39" s="40">
        <v>24485285</v>
      </c>
    </row>
    <row r="40" spans="1:5" s="200" customFormat="1" ht="12" customHeight="1" x14ac:dyDescent="0.2">
      <c r="A40" s="199" t="s">
        <v>321</v>
      </c>
      <c r="B40" s="38" t="s">
        <v>497</v>
      </c>
      <c r="C40" s="39">
        <v>3497000</v>
      </c>
      <c r="D40" s="39">
        <v>5683064</v>
      </c>
      <c r="E40" s="40">
        <v>2826963</v>
      </c>
    </row>
    <row r="41" spans="1:5" s="200" customFormat="1" ht="12" customHeight="1" x14ac:dyDescent="0.2">
      <c r="A41" s="199" t="s">
        <v>428</v>
      </c>
      <c r="B41" s="38" t="s">
        <v>498</v>
      </c>
      <c r="C41" s="39">
        <v>430000</v>
      </c>
      <c r="D41" s="39">
        <v>430000</v>
      </c>
      <c r="E41" s="40">
        <v>671293</v>
      </c>
    </row>
    <row r="42" spans="1:5" s="200" customFormat="1" ht="12" customHeight="1" x14ac:dyDescent="0.2">
      <c r="A42" s="199" t="s">
        <v>429</v>
      </c>
      <c r="B42" s="38" t="s">
        <v>499</v>
      </c>
      <c r="C42" s="39"/>
      <c r="D42" s="39"/>
      <c r="E42" s="40"/>
    </row>
    <row r="43" spans="1:5" s="200" customFormat="1" ht="12" customHeight="1" x14ac:dyDescent="0.2">
      <c r="A43" s="199" t="s">
        <v>430</v>
      </c>
      <c r="B43" s="38" t="s">
        <v>500</v>
      </c>
      <c r="C43" s="39">
        <v>8998500</v>
      </c>
      <c r="D43" s="39">
        <v>8994436</v>
      </c>
      <c r="E43" s="40">
        <v>8720054</v>
      </c>
    </row>
    <row r="44" spans="1:5" s="200" customFormat="1" ht="12" customHeight="1" x14ac:dyDescent="0.2">
      <c r="A44" s="199" t="s">
        <v>431</v>
      </c>
      <c r="B44" s="38" t="s">
        <v>501</v>
      </c>
      <c r="C44" s="39"/>
      <c r="D44" s="39"/>
      <c r="E44" s="40"/>
    </row>
    <row r="45" spans="1:5" s="200" customFormat="1" ht="12" customHeight="1" x14ac:dyDescent="0.2">
      <c r="A45" s="199" t="s">
        <v>432</v>
      </c>
      <c r="B45" s="38" t="s">
        <v>502</v>
      </c>
      <c r="C45" s="39">
        <v>30000</v>
      </c>
      <c r="D45" s="39">
        <v>30000</v>
      </c>
      <c r="E45" s="40">
        <v>597</v>
      </c>
    </row>
    <row r="46" spans="1:5" s="200" customFormat="1" ht="12" customHeight="1" x14ac:dyDescent="0.2">
      <c r="A46" s="199" t="s">
        <v>503</v>
      </c>
      <c r="B46" s="38" t="s">
        <v>504</v>
      </c>
      <c r="C46" s="49"/>
      <c r="D46" s="49"/>
      <c r="E46" s="50"/>
    </row>
    <row r="47" spans="1:5" s="200" customFormat="1" ht="12" customHeight="1" x14ac:dyDescent="0.2">
      <c r="A47" s="201" t="s">
        <v>505</v>
      </c>
      <c r="B47" s="41" t="s">
        <v>285</v>
      </c>
      <c r="C47" s="51">
        <v>500000</v>
      </c>
      <c r="D47" s="51">
        <v>200000</v>
      </c>
      <c r="E47" s="52">
        <v>194740</v>
      </c>
    </row>
    <row r="48" spans="1:5" s="198" customFormat="1" ht="12" customHeight="1" thickBot="1" x14ac:dyDescent="0.25">
      <c r="A48" s="201" t="s">
        <v>284</v>
      </c>
      <c r="B48" s="41" t="s">
        <v>506</v>
      </c>
      <c r="C48" s="51">
        <v>660000</v>
      </c>
      <c r="D48" s="51">
        <v>5558811</v>
      </c>
      <c r="E48" s="52">
        <v>7962108</v>
      </c>
    </row>
    <row r="49" spans="1:5" s="200" customFormat="1" ht="12" customHeight="1" thickBot="1" x14ac:dyDescent="0.25">
      <c r="A49" s="1" t="s">
        <v>240</v>
      </c>
      <c r="B49" s="5" t="s">
        <v>507</v>
      </c>
      <c r="C49" s="32">
        <f>SUM(C50:C54)</f>
        <v>30332500</v>
      </c>
      <c r="D49" s="32">
        <f>SUM(D50:D54)</f>
        <v>30332500</v>
      </c>
      <c r="E49" s="33">
        <f>SUM(E50:E54)</f>
        <v>9581550</v>
      </c>
    </row>
    <row r="50" spans="1:5" s="200" customFormat="1" ht="12" customHeight="1" x14ac:dyDescent="0.2">
      <c r="A50" s="197" t="s">
        <v>322</v>
      </c>
      <c r="B50" s="35" t="s">
        <v>508</v>
      </c>
      <c r="C50" s="53"/>
      <c r="D50" s="53"/>
      <c r="E50" s="54"/>
    </row>
    <row r="51" spans="1:5" s="200" customFormat="1" ht="12" customHeight="1" x14ac:dyDescent="0.2">
      <c r="A51" s="199" t="s">
        <v>323</v>
      </c>
      <c r="B51" s="38" t="s">
        <v>199</v>
      </c>
      <c r="C51" s="49">
        <v>30332500</v>
      </c>
      <c r="D51" s="49">
        <v>30332500</v>
      </c>
      <c r="E51" s="50">
        <v>9581550</v>
      </c>
    </row>
    <row r="52" spans="1:5" s="200" customFormat="1" ht="12" customHeight="1" x14ac:dyDescent="0.2">
      <c r="A52" s="199" t="s">
        <v>509</v>
      </c>
      <c r="B52" s="38" t="s">
        <v>510</v>
      </c>
      <c r="C52" s="49"/>
      <c r="D52" s="49"/>
      <c r="E52" s="50"/>
    </row>
    <row r="53" spans="1:5" s="200" customFormat="1" ht="12" customHeight="1" x14ac:dyDescent="0.2">
      <c r="A53" s="199" t="s">
        <v>511</v>
      </c>
      <c r="B53" s="38" t="s">
        <v>512</v>
      </c>
      <c r="C53" s="49"/>
      <c r="D53" s="49"/>
      <c r="E53" s="50"/>
    </row>
    <row r="54" spans="1:5" s="200" customFormat="1" ht="12" customHeight="1" thickBot="1" x14ac:dyDescent="0.25">
      <c r="A54" s="201" t="s">
        <v>513</v>
      </c>
      <c r="B54" s="41" t="s">
        <v>514</v>
      </c>
      <c r="C54" s="51"/>
      <c r="D54" s="51"/>
      <c r="E54" s="52"/>
    </row>
    <row r="55" spans="1:5" s="200" customFormat="1" ht="12" customHeight="1" thickBot="1" x14ac:dyDescent="0.25">
      <c r="A55" s="1" t="s">
        <v>433</v>
      </c>
      <c r="B55" s="5" t="s">
        <v>515</v>
      </c>
      <c r="C55" s="32">
        <f>SUM(C56:C58)</f>
        <v>4766000</v>
      </c>
      <c r="D55" s="32">
        <f>SUM(D56:D58)</f>
        <v>3766000</v>
      </c>
      <c r="E55" s="33">
        <f>SUM(E56:E58)</f>
        <v>3889198</v>
      </c>
    </row>
    <row r="56" spans="1:5" s="198" customFormat="1" ht="12" customHeight="1" x14ac:dyDescent="0.2">
      <c r="A56" s="197" t="s">
        <v>324</v>
      </c>
      <c r="B56" s="35" t="s">
        <v>516</v>
      </c>
      <c r="C56" s="36"/>
      <c r="D56" s="36"/>
      <c r="E56" s="37"/>
    </row>
    <row r="57" spans="1:5" s="198" customFormat="1" ht="12" customHeight="1" x14ac:dyDescent="0.2">
      <c r="A57" s="199" t="s">
        <v>325</v>
      </c>
      <c r="B57" s="38" t="s">
        <v>517</v>
      </c>
      <c r="C57" s="39">
        <v>1866000</v>
      </c>
      <c r="D57" s="39">
        <v>1866000</v>
      </c>
      <c r="E57" s="40">
        <v>2079965</v>
      </c>
    </row>
    <row r="58" spans="1:5" s="198" customFormat="1" ht="12" customHeight="1" x14ac:dyDescent="0.2">
      <c r="A58" s="199" t="s">
        <v>434</v>
      </c>
      <c r="B58" s="38" t="s">
        <v>518</v>
      </c>
      <c r="C58" s="39">
        <v>2900000</v>
      </c>
      <c r="D58" s="39">
        <v>1900000</v>
      </c>
      <c r="E58" s="40">
        <v>1809233</v>
      </c>
    </row>
    <row r="59" spans="1:5" s="198" customFormat="1" ht="12" customHeight="1" thickBot="1" x14ac:dyDescent="0.25">
      <c r="A59" s="201" t="s">
        <v>519</v>
      </c>
      <c r="B59" s="41" t="s">
        <v>520</v>
      </c>
      <c r="C59" s="42"/>
      <c r="D59" s="42"/>
      <c r="E59" s="43"/>
    </row>
    <row r="60" spans="1:5" s="200" customFormat="1" ht="12" customHeight="1" thickBot="1" x14ac:dyDescent="0.25">
      <c r="A60" s="1" t="s">
        <v>242</v>
      </c>
      <c r="B60" s="44" t="s">
        <v>521</v>
      </c>
      <c r="C60" s="32">
        <f>SUM(C61:C63)</f>
        <v>0</v>
      </c>
      <c r="D60" s="32">
        <f>SUM(D61:D63)</f>
        <v>0</v>
      </c>
      <c r="E60" s="33">
        <f>SUM(E61:E63)</f>
        <v>0</v>
      </c>
    </row>
    <row r="61" spans="1:5" s="200" customFormat="1" ht="12" customHeight="1" x14ac:dyDescent="0.2">
      <c r="A61" s="197" t="s">
        <v>435</v>
      </c>
      <c r="B61" s="35" t="s">
        <v>522</v>
      </c>
      <c r="C61" s="49"/>
      <c r="D61" s="49"/>
      <c r="E61" s="50"/>
    </row>
    <row r="62" spans="1:5" s="200" customFormat="1" ht="12" customHeight="1" x14ac:dyDescent="0.2">
      <c r="A62" s="199" t="s">
        <v>436</v>
      </c>
      <c r="B62" s="38" t="s">
        <v>683</v>
      </c>
      <c r="C62" s="49"/>
      <c r="D62" s="49"/>
      <c r="E62" s="50"/>
    </row>
    <row r="63" spans="1:5" s="200" customFormat="1" ht="12" customHeight="1" x14ac:dyDescent="0.2">
      <c r="A63" s="199" t="s">
        <v>524</v>
      </c>
      <c r="B63" s="38" t="s">
        <v>525</v>
      </c>
      <c r="C63" s="49"/>
      <c r="D63" s="49"/>
      <c r="E63" s="50"/>
    </row>
    <row r="64" spans="1:5" s="200" customFormat="1" ht="12" customHeight="1" thickBot="1" x14ac:dyDescent="0.25">
      <c r="A64" s="201" t="s">
        <v>526</v>
      </c>
      <c r="B64" s="41" t="s">
        <v>527</v>
      </c>
      <c r="C64" s="49"/>
      <c r="D64" s="49"/>
      <c r="E64" s="50"/>
    </row>
    <row r="65" spans="1:5" s="200" customFormat="1" ht="12" customHeight="1" thickBot="1" x14ac:dyDescent="0.25">
      <c r="A65" s="1" t="s">
        <v>243</v>
      </c>
      <c r="B65" s="5" t="s">
        <v>528</v>
      </c>
      <c r="C65" s="46">
        <f>+C8+C15+C22+C29+C37+C49+C55+C60</f>
        <v>1917422018</v>
      </c>
      <c r="D65" s="46">
        <f>+D8+D15+D22+D29+D37+D49+D55+D60</f>
        <v>1995178359</v>
      </c>
      <c r="E65" s="47">
        <f>+E8+E15+E22+E29+E37+E49+E55+E60</f>
        <v>1854270725</v>
      </c>
    </row>
    <row r="66" spans="1:5" s="200" customFormat="1" ht="12" customHeight="1" thickBot="1" x14ac:dyDescent="0.2">
      <c r="A66" s="202" t="s">
        <v>684</v>
      </c>
      <c r="B66" s="44" t="s">
        <v>530</v>
      </c>
      <c r="C66" s="32">
        <f>SUM(C67:C69)</f>
        <v>193478462</v>
      </c>
      <c r="D66" s="32">
        <f>SUM(D67:D69)</f>
        <v>212343590</v>
      </c>
      <c r="E66" s="33">
        <f>SUM(E67:E69)</f>
        <v>63319557</v>
      </c>
    </row>
    <row r="67" spans="1:5" s="200" customFormat="1" ht="12" customHeight="1" x14ac:dyDescent="0.2">
      <c r="A67" s="197" t="s">
        <v>531</v>
      </c>
      <c r="B67" s="35" t="s">
        <v>532</v>
      </c>
      <c r="C67" s="49">
        <v>93478462</v>
      </c>
      <c r="D67" s="49">
        <v>112343590</v>
      </c>
      <c r="E67" s="50">
        <v>63319557</v>
      </c>
    </row>
    <row r="68" spans="1:5" s="200" customFormat="1" ht="12" customHeight="1" x14ac:dyDescent="0.2">
      <c r="A68" s="199" t="s">
        <v>533</v>
      </c>
      <c r="B68" s="38" t="s">
        <v>534</v>
      </c>
      <c r="C68" s="49">
        <v>100000000</v>
      </c>
      <c r="D68" s="49">
        <v>100000000</v>
      </c>
      <c r="E68" s="50"/>
    </row>
    <row r="69" spans="1:5" s="200" customFormat="1" ht="12" customHeight="1" thickBot="1" x14ac:dyDescent="0.25">
      <c r="A69" s="201" t="s">
        <v>535</v>
      </c>
      <c r="B69" s="203" t="s">
        <v>685</v>
      </c>
      <c r="C69" s="49"/>
      <c r="D69" s="49"/>
      <c r="E69" s="50"/>
    </row>
    <row r="70" spans="1:5" s="200" customFormat="1" ht="12" customHeight="1" thickBot="1" x14ac:dyDescent="0.2">
      <c r="A70" s="202" t="s">
        <v>537</v>
      </c>
      <c r="B70" s="44" t="s">
        <v>538</v>
      </c>
      <c r="C70" s="32">
        <f>SUM(C71:C74)</f>
        <v>0</v>
      </c>
      <c r="D70" s="32">
        <f>SUM(D71:D74)</f>
        <v>0</v>
      </c>
      <c r="E70" s="33">
        <f>SUM(E71:E74)</f>
        <v>0</v>
      </c>
    </row>
    <row r="71" spans="1:5" s="200" customFormat="1" ht="12" customHeight="1" x14ac:dyDescent="0.2">
      <c r="A71" s="197" t="s">
        <v>326</v>
      </c>
      <c r="B71" s="35" t="s">
        <v>539</v>
      </c>
      <c r="C71" s="49"/>
      <c r="D71" s="49"/>
      <c r="E71" s="50"/>
    </row>
    <row r="72" spans="1:5" s="200" customFormat="1" ht="12" customHeight="1" x14ac:dyDescent="0.2">
      <c r="A72" s="199" t="s">
        <v>327</v>
      </c>
      <c r="B72" s="38" t="s">
        <v>540</v>
      </c>
      <c r="C72" s="49"/>
      <c r="D72" s="49"/>
      <c r="E72" s="50"/>
    </row>
    <row r="73" spans="1:5" s="200" customFormat="1" ht="12" customHeight="1" x14ac:dyDescent="0.2">
      <c r="A73" s="199" t="s">
        <v>541</v>
      </c>
      <c r="B73" s="38" t="s">
        <v>542</v>
      </c>
      <c r="C73" s="49"/>
      <c r="D73" s="49"/>
      <c r="E73" s="50"/>
    </row>
    <row r="74" spans="1:5" s="200" customFormat="1" ht="12" customHeight="1" thickBot="1" x14ac:dyDescent="0.25">
      <c r="A74" s="201" t="s">
        <v>543</v>
      </c>
      <c r="B74" s="41" t="s">
        <v>544</v>
      </c>
      <c r="C74" s="49"/>
      <c r="D74" s="49"/>
      <c r="E74" s="50"/>
    </row>
    <row r="75" spans="1:5" s="200" customFormat="1" ht="12" customHeight="1" thickBot="1" x14ac:dyDescent="0.2">
      <c r="A75" s="202" t="s">
        <v>545</v>
      </c>
      <c r="B75" s="44" t="s">
        <v>546</v>
      </c>
      <c r="C75" s="32">
        <f>SUM(C76:C77)</f>
        <v>569119704</v>
      </c>
      <c r="D75" s="32">
        <f>SUM(D76:D77)</f>
        <v>594503758</v>
      </c>
      <c r="E75" s="33">
        <f>SUM(E76:E77)</f>
        <v>594503758</v>
      </c>
    </row>
    <row r="76" spans="1:5" s="200" customFormat="1" ht="12" customHeight="1" x14ac:dyDescent="0.2">
      <c r="A76" s="197" t="s">
        <v>547</v>
      </c>
      <c r="B76" s="35" t="s">
        <v>548</v>
      </c>
      <c r="C76" s="49">
        <v>569119704</v>
      </c>
      <c r="D76" s="49">
        <v>594503758</v>
      </c>
      <c r="E76" s="50">
        <v>594503758</v>
      </c>
    </row>
    <row r="77" spans="1:5" s="200" customFormat="1" ht="12" customHeight="1" thickBot="1" x14ac:dyDescent="0.25">
      <c r="A77" s="201" t="s">
        <v>549</v>
      </c>
      <c r="B77" s="41" t="s">
        <v>556</v>
      </c>
      <c r="C77" s="49"/>
      <c r="D77" s="49"/>
      <c r="E77" s="50"/>
    </row>
    <row r="78" spans="1:5" s="200" customFormat="1" ht="12" customHeight="1" thickBot="1" x14ac:dyDescent="0.2">
      <c r="A78" s="202" t="s">
        <v>557</v>
      </c>
      <c r="B78" s="44" t="s">
        <v>558</v>
      </c>
      <c r="C78" s="32">
        <f>SUM(C79:C81)</f>
        <v>0</v>
      </c>
      <c r="D78" s="32">
        <f>SUM(D79:D81)</f>
        <v>41904332</v>
      </c>
      <c r="E78" s="33">
        <f>SUM(E79:E81)</f>
        <v>41904332</v>
      </c>
    </row>
    <row r="79" spans="1:5" s="200" customFormat="1" ht="12" customHeight="1" x14ac:dyDescent="0.2">
      <c r="A79" s="197" t="s">
        <v>559</v>
      </c>
      <c r="B79" s="35" t="s">
        <v>560</v>
      </c>
      <c r="C79" s="49"/>
      <c r="D79" s="49">
        <v>41904332</v>
      </c>
      <c r="E79" s="50">
        <v>41904332</v>
      </c>
    </row>
    <row r="80" spans="1:5" s="200" customFormat="1" ht="12" customHeight="1" x14ac:dyDescent="0.2">
      <c r="A80" s="199" t="s">
        <v>561</v>
      </c>
      <c r="B80" s="38" t="s">
        <v>562</v>
      </c>
      <c r="C80" s="49"/>
      <c r="D80" s="49"/>
      <c r="E80" s="50"/>
    </row>
    <row r="81" spans="1:5" s="200" customFormat="1" ht="12" customHeight="1" thickBot="1" x14ac:dyDescent="0.25">
      <c r="A81" s="201" t="s">
        <v>563</v>
      </c>
      <c r="B81" s="41" t="s">
        <v>564</v>
      </c>
      <c r="C81" s="49"/>
      <c r="D81" s="49"/>
      <c r="E81" s="50"/>
    </row>
    <row r="82" spans="1:5" s="200" customFormat="1" ht="12" customHeight="1" thickBot="1" x14ac:dyDescent="0.2">
      <c r="A82" s="202" t="s">
        <v>565</v>
      </c>
      <c r="B82" s="44" t="s">
        <v>566</v>
      </c>
      <c r="C82" s="32">
        <f>SUM(C83:C86)</f>
        <v>0</v>
      </c>
      <c r="D82" s="32">
        <f>SUM(D83:D86)</f>
        <v>0</v>
      </c>
      <c r="E82" s="33">
        <f>SUM(E83:E86)</f>
        <v>0</v>
      </c>
    </row>
    <row r="83" spans="1:5" s="200" customFormat="1" ht="12" customHeight="1" x14ac:dyDescent="0.2">
      <c r="A83" s="204" t="s">
        <v>567</v>
      </c>
      <c r="B83" s="35" t="s">
        <v>568</v>
      </c>
      <c r="C83" s="49"/>
      <c r="D83" s="49"/>
      <c r="E83" s="50"/>
    </row>
    <row r="84" spans="1:5" s="200" customFormat="1" ht="12" customHeight="1" x14ac:dyDescent="0.2">
      <c r="A84" s="205" t="s">
        <v>569</v>
      </c>
      <c r="B84" s="38" t="s">
        <v>573</v>
      </c>
      <c r="C84" s="49"/>
      <c r="D84" s="49"/>
      <c r="E84" s="50"/>
    </row>
    <row r="85" spans="1:5" s="200" customFormat="1" ht="12" customHeight="1" x14ac:dyDescent="0.2">
      <c r="A85" s="205" t="s">
        <v>574</v>
      </c>
      <c r="B85" s="38" t="s">
        <v>575</v>
      </c>
      <c r="C85" s="49"/>
      <c r="D85" s="49"/>
      <c r="E85" s="50"/>
    </row>
    <row r="86" spans="1:5" s="200" customFormat="1" ht="12" customHeight="1" thickBot="1" x14ac:dyDescent="0.25">
      <c r="A86" s="206" t="s">
        <v>576</v>
      </c>
      <c r="B86" s="41" t="s">
        <v>577</v>
      </c>
      <c r="C86" s="49"/>
      <c r="D86" s="49"/>
      <c r="E86" s="50"/>
    </row>
    <row r="87" spans="1:5" s="200" customFormat="1" ht="12" customHeight="1" thickBot="1" x14ac:dyDescent="0.2">
      <c r="A87" s="202" t="s">
        <v>578</v>
      </c>
      <c r="B87" s="44" t="s">
        <v>579</v>
      </c>
      <c r="C87" s="60"/>
      <c r="D87" s="60"/>
      <c r="E87" s="61"/>
    </row>
    <row r="88" spans="1:5" s="200" customFormat="1" ht="12" customHeight="1" thickBot="1" x14ac:dyDescent="0.2">
      <c r="A88" s="202" t="s">
        <v>580</v>
      </c>
      <c r="B88" s="207" t="s">
        <v>581</v>
      </c>
      <c r="C88" s="46">
        <f>+C66+C70+C75+C78+C82+C87</f>
        <v>762598166</v>
      </c>
      <c r="D88" s="46">
        <f>+D66+D70+D75+D78+D82+D87</f>
        <v>848751680</v>
      </c>
      <c r="E88" s="47">
        <f>+E66+E70+E75+E78+E82+E87</f>
        <v>699727647</v>
      </c>
    </row>
    <row r="89" spans="1:5" s="200" customFormat="1" ht="12" customHeight="1" thickBot="1" x14ac:dyDescent="0.2">
      <c r="A89" s="208" t="s">
        <v>582</v>
      </c>
      <c r="B89" s="209" t="s">
        <v>686</v>
      </c>
      <c r="C89" s="46">
        <f>+C65+C88</f>
        <v>2680020184</v>
      </c>
      <c r="D89" s="46">
        <f>+D65+D88</f>
        <v>2843930039</v>
      </c>
      <c r="E89" s="47">
        <f>+E65+E88</f>
        <v>2553998372</v>
      </c>
    </row>
    <row r="90" spans="1:5" s="200" customFormat="1" ht="15" customHeight="1" x14ac:dyDescent="0.2">
      <c r="A90" s="210"/>
      <c r="B90" s="211"/>
      <c r="C90" s="212"/>
      <c r="D90" s="212"/>
      <c r="E90" s="212"/>
    </row>
    <row r="91" spans="1:5" ht="13.5" thickBot="1" x14ac:dyDescent="0.25">
      <c r="A91" s="213"/>
      <c r="B91" s="214"/>
      <c r="C91" s="215"/>
      <c r="D91" s="215"/>
      <c r="E91" s="215"/>
    </row>
    <row r="92" spans="1:5" s="196" customFormat="1" ht="16.5" customHeight="1" thickBot="1" x14ac:dyDescent="0.25">
      <c r="A92" s="1196" t="s">
        <v>130</v>
      </c>
      <c r="B92" s="1197"/>
      <c r="C92" s="1197"/>
      <c r="D92" s="1197"/>
      <c r="E92" s="1198"/>
    </row>
    <row r="93" spans="1:5" s="218" customFormat="1" ht="12" customHeight="1" thickBot="1" x14ac:dyDescent="0.25">
      <c r="A93" s="216" t="s">
        <v>228</v>
      </c>
      <c r="B93" s="70" t="s">
        <v>633</v>
      </c>
      <c r="C93" s="217">
        <f>SUM(C94:C98)</f>
        <v>601691463</v>
      </c>
      <c r="D93" s="217">
        <f>SUM(D94:D98)</f>
        <v>603371244</v>
      </c>
      <c r="E93" s="217">
        <f>SUM(E94:E98)</f>
        <v>484487599</v>
      </c>
    </row>
    <row r="94" spans="1:5" ht="12" customHeight="1" x14ac:dyDescent="0.2">
      <c r="A94" s="219" t="s">
        <v>330</v>
      </c>
      <c r="B94" s="14" t="s">
        <v>331</v>
      </c>
      <c r="C94" s="220">
        <v>47818378</v>
      </c>
      <c r="D94" s="220">
        <v>52738980</v>
      </c>
      <c r="E94" s="220">
        <v>44176741</v>
      </c>
    </row>
    <row r="95" spans="1:5" ht="12" customHeight="1" x14ac:dyDescent="0.2">
      <c r="A95" s="199" t="s">
        <v>332</v>
      </c>
      <c r="B95" s="9" t="s">
        <v>438</v>
      </c>
      <c r="C95" s="221">
        <v>9479418</v>
      </c>
      <c r="D95" s="221">
        <v>10523105</v>
      </c>
      <c r="E95" s="221">
        <v>8542758</v>
      </c>
    </row>
    <row r="96" spans="1:5" ht="12" customHeight="1" x14ac:dyDescent="0.2">
      <c r="A96" s="199" t="s">
        <v>333</v>
      </c>
      <c r="B96" s="9" t="s">
        <v>334</v>
      </c>
      <c r="C96" s="222">
        <v>323132583</v>
      </c>
      <c r="D96" s="222">
        <v>237199296</v>
      </c>
      <c r="E96" s="222">
        <v>207027317</v>
      </c>
    </row>
    <row r="97" spans="1:5" ht="12" customHeight="1" x14ac:dyDescent="0.2">
      <c r="A97" s="199" t="s">
        <v>335</v>
      </c>
      <c r="B97" s="16" t="s">
        <v>439</v>
      </c>
      <c r="C97" s="222">
        <v>73000000</v>
      </c>
      <c r="D97" s="222">
        <v>139184000</v>
      </c>
      <c r="E97" s="222">
        <v>67052084</v>
      </c>
    </row>
    <row r="98" spans="1:5" ht="12" customHeight="1" x14ac:dyDescent="0.2">
      <c r="A98" s="199" t="s">
        <v>336</v>
      </c>
      <c r="B98" s="17" t="s">
        <v>440</v>
      </c>
      <c r="C98" s="222">
        <v>148261084</v>
      </c>
      <c r="D98" s="222">
        <v>163725863</v>
      </c>
      <c r="E98" s="222">
        <v>157688699</v>
      </c>
    </row>
    <row r="99" spans="1:5" ht="12" customHeight="1" x14ac:dyDescent="0.2">
      <c r="A99" s="199" t="s">
        <v>337</v>
      </c>
      <c r="B99" s="9" t="s">
        <v>585</v>
      </c>
      <c r="C99" s="222"/>
      <c r="D99" s="222">
        <v>159000</v>
      </c>
      <c r="E99" s="222">
        <v>159000</v>
      </c>
    </row>
    <row r="100" spans="1:5" ht="12" customHeight="1" x14ac:dyDescent="0.2">
      <c r="A100" s="199" t="s">
        <v>338</v>
      </c>
      <c r="B100" s="20" t="s">
        <v>586</v>
      </c>
      <c r="C100" s="222"/>
      <c r="D100" s="222"/>
      <c r="E100" s="222"/>
    </row>
    <row r="101" spans="1:5" ht="12" customHeight="1" x14ac:dyDescent="0.2">
      <c r="A101" s="199" t="s">
        <v>339</v>
      </c>
      <c r="B101" s="21" t="s">
        <v>587</v>
      </c>
      <c r="C101" s="222"/>
      <c r="D101" s="222"/>
      <c r="E101" s="222"/>
    </row>
    <row r="102" spans="1:5" ht="21.75" customHeight="1" x14ac:dyDescent="0.2">
      <c r="A102" s="199" t="s">
        <v>340</v>
      </c>
      <c r="B102" s="21" t="s">
        <v>588</v>
      </c>
      <c r="C102" s="222"/>
      <c r="D102" s="222"/>
      <c r="E102" s="222"/>
    </row>
    <row r="103" spans="1:5" ht="12" customHeight="1" x14ac:dyDescent="0.2">
      <c r="A103" s="199" t="s">
        <v>341</v>
      </c>
      <c r="B103" s="20" t="s">
        <v>589</v>
      </c>
      <c r="C103" s="222"/>
      <c r="D103" s="222">
        <v>660000</v>
      </c>
      <c r="E103" s="222">
        <v>660000</v>
      </c>
    </row>
    <row r="104" spans="1:5" ht="12" customHeight="1" x14ac:dyDescent="0.2">
      <c r="A104" s="199" t="s">
        <v>342</v>
      </c>
      <c r="B104" s="20" t="s">
        <v>590</v>
      </c>
      <c r="C104" s="222"/>
      <c r="D104" s="222"/>
      <c r="E104" s="222"/>
    </row>
    <row r="105" spans="1:5" ht="12" customHeight="1" x14ac:dyDescent="0.2">
      <c r="A105" s="199" t="s">
        <v>343</v>
      </c>
      <c r="B105" s="21" t="s">
        <v>591</v>
      </c>
      <c r="C105" s="222"/>
      <c r="D105" s="222"/>
      <c r="E105" s="222"/>
    </row>
    <row r="106" spans="1:5" ht="12" customHeight="1" x14ac:dyDescent="0.2">
      <c r="A106" s="223" t="s">
        <v>592</v>
      </c>
      <c r="B106" s="22" t="s">
        <v>593</v>
      </c>
      <c r="C106" s="222"/>
      <c r="D106" s="222"/>
      <c r="E106" s="222"/>
    </row>
    <row r="107" spans="1:5" ht="12" customHeight="1" x14ac:dyDescent="0.2">
      <c r="A107" s="199" t="s">
        <v>594</v>
      </c>
      <c r="B107" s="22" t="s">
        <v>595</v>
      </c>
      <c r="C107" s="222"/>
      <c r="D107" s="222"/>
      <c r="E107" s="222"/>
    </row>
    <row r="108" spans="1:5" ht="12" customHeight="1" x14ac:dyDescent="0.2">
      <c r="A108" s="201" t="s">
        <v>596</v>
      </c>
      <c r="B108" s="22" t="s">
        <v>287</v>
      </c>
      <c r="C108" s="222">
        <v>100000</v>
      </c>
      <c r="D108" s="222">
        <v>5171998</v>
      </c>
      <c r="E108" s="222">
        <v>5090844</v>
      </c>
    </row>
    <row r="109" spans="1:5" s="218" customFormat="1" ht="12" customHeight="1" thickBot="1" x14ac:dyDescent="0.25">
      <c r="A109" s="224" t="s">
        <v>187</v>
      </c>
      <c r="B109" s="75" t="s">
        <v>597</v>
      </c>
      <c r="C109" s="225">
        <v>148161084</v>
      </c>
      <c r="D109" s="225">
        <v>157734865</v>
      </c>
      <c r="E109" s="225">
        <v>151778855</v>
      </c>
    </row>
    <row r="110" spans="1:5" ht="12" customHeight="1" thickBot="1" x14ac:dyDescent="0.25">
      <c r="A110" s="1" t="s">
        <v>234</v>
      </c>
      <c r="B110" s="19" t="s">
        <v>634</v>
      </c>
      <c r="C110" s="92">
        <f>+C111+C112+C113</f>
        <v>529079194</v>
      </c>
      <c r="D110" s="92">
        <f>+D111+D112+D113</f>
        <v>688604762</v>
      </c>
      <c r="E110" s="92">
        <f>+E111+E112+E113</f>
        <v>372996456</v>
      </c>
    </row>
    <row r="111" spans="1:5" ht="12" customHeight="1" x14ac:dyDescent="0.2">
      <c r="A111" s="197" t="s">
        <v>344</v>
      </c>
      <c r="B111" s="9" t="s">
        <v>142</v>
      </c>
      <c r="C111" s="226">
        <v>281167111</v>
      </c>
      <c r="D111" s="226">
        <v>346128235</v>
      </c>
      <c r="E111" s="226">
        <v>93528114</v>
      </c>
    </row>
    <row r="112" spans="1:5" ht="12" customHeight="1" x14ac:dyDescent="0.2">
      <c r="A112" s="197" t="s">
        <v>346</v>
      </c>
      <c r="B112" s="18" t="s">
        <v>225</v>
      </c>
      <c r="C112" s="221">
        <v>182201362</v>
      </c>
      <c r="D112" s="221">
        <v>275855806</v>
      </c>
      <c r="E112" s="221">
        <v>234077493</v>
      </c>
    </row>
    <row r="113" spans="1:5" ht="12" customHeight="1" x14ac:dyDescent="0.2">
      <c r="A113" s="197" t="s">
        <v>348</v>
      </c>
      <c r="B113" s="45" t="s">
        <v>143</v>
      </c>
      <c r="C113" s="40">
        <v>65710721</v>
      </c>
      <c r="D113" s="40">
        <v>66620721</v>
      </c>
      <c r="E113" s="40">
        <v>45390849</v>
      </c>
    </row>
    <row r="114" spans="1:5" ht="12" customHeight="1" x14ac:dyDescent="0.2">
      <c r="A114" s="197" t="s">
        <v>349</v>
      </c>
      <c r="B114" s="78" t="s">
        <v>598</v>
      </c>
      <c r="C114" s="40"/>
      <c r="D114" s="40"/>
      <c r="E114" s="40"/>
    </row>
    <row r="115" spans="1:5" ht="12" customHeight="1" x14ac:dyDescent="0.2">
      <c r="A115" s="197" t="s">
        <v>350</v>
      </c>
      <c r="B115" s="79" t="s">
        <v>599</v>
      </c>
      <c r="C115" s="40"/>
      <c r="D115" s="40"/>
      <c r="E115" s="40"/>
    </row>
    <row r="116" spans="1:5" ht="22.5" customHeight="1" x14ac:dyDescent="0.2">
      <c r="A116" s="197" t="s">
        <v>441</v>
      </c>
      <c r="B116" s="21" t="s">
        <v>588</v>
      </c>
      <c r="C116" s="40"/>
      <c r="D116" s="40"/>
      <c r="E116" s="40"/>
    </row>
    <row r="117" spans="1:5" ht="12" customHeight="1" x14ac:dyDescent="0.2">
      <c r="A117" s="197" t="s">
        <v>442</v>
      </c>
      <c r="B117" s="21" t="s">
        <v>600</v>
      </c>
      <c r="C117" s="40"/>
      <c r="D117" s="40"/>
      <c r="E117" s="40"/>
    </row>
    <row r="118" spans="1:5" ht="12" customHeight="1" x14ac:dyDescent="0.2">
      <c r="A118" s="197" t="s">
        <v>127</v>
      </c>
      <c r="B118" s="21" t="s">
        <v>601</v>
      </c>
      <c r="C118" s="40"/>
      <c r="D118" s="40"/>
      <c r="E118" s="40"/>
    </row>
    <row r="119" spans="1:5" ht="12" customHeight="1" x14ac:dyDescent="0.2">
      <c r="A119" s="197" t="s">
        <v>602</v>
      </c>
      <c r="B119" s="21" t="s">
        <v>591</v>
      </c>
      <c r="C119" s="40"/>
      <c r="D119" s="40"/>
      <c r="E119" s="40"/>
    </row>
    <row r="120" spans="1:5" ht="12" customHeight="1" x14ac:dyDescent="0.2">
      <c r="A120" s="197" t="s">
        <v>603</v>
      </c>
      <c r="B120" s="21" t="s">
        <v>604</v>
      </c>
      <c r="C120" s="40"/>
      <c r="D120" s="40"/>
      <c r="E120" s="40"/>
    </row>
    <row r="121" spans="1:5" ht="12" customHeight="1" thickBot="1" x14ac:dyDescent="0.25">
      <c r="A121" s="223" t="s">
        <v>605</v>
      </c>
      <c r="B121" s="21" t="s">
        <v>606</v>
      </c>
      <c r="C121" s="43">
        <v>65710721</v>
      </c>
      <c r="D121" s="43">
        <v>66620721</v>
      </c>
      <c r="E121" s="43">
        <v>45390849</v>
      </c>
    </row>
    <row r="122" spans="1:5" ht="12" customHeight="1" thickBot="1" x14ac:dyDescent="0.25">
      <c r="A122" s="1" t="s">
        <v>235</v>
      </c>
      <c r="B122" s="81" t="s">
        <v>607</v>
      </c>
      <c r="C122" s="92">
        <f>+C123+C124</f>
        <v>80846522</v>
      </c>
      <c r="D122" s="92">
        <f>+D123+D124</f>
        <v>91990058</v>
      </c>
      <c r="E122" s="92">
        <f>+E123+E124</f>
        <v>0</v>
      </c>
    </row>
    <row r="123" spans="1:5" ht="12" customHeight="1" x14ac:dyDescent="0.2">
      <c r="A123" s="197" t="s">
        <v>312</v>
      </c>
      <c r="B123" s="11" t="s">
        <v>351</v>
      </c>
      <c r="C123" s="226">
        <v>15000000</v>
      </c>
      <c r="D123" s="226">
        <v>10857171</v>
      </c>
      <c r="E123" s="226"/>
    </row>
    <row r="124" spans="1:5" ht="12" customHeight="1" thickBot="1" x14ac:dyDescent="0.25">
      <c r="A124" s="201" t="s">
        <v>313</v>
      </c>
      <c r="B124" s="18" t="s">
        <v>352</v>
      </c>
      <c r="C124" s="222">
        <v>65846522</v>
      </c>
      <c r="D124" s="222">
        <v>81132887</v>
      </c>
      <c r="E124" s="222"/>
    </row>
    <row r="125" spans="1:5" ht="12" customHeight="1" thickBot="1" x14ac:dyDescent="0.25">
      <c r="A125" s="1" t="s">
        <v>236</v>
      </c>
      <c r="B125" s="81" t="s">
        <v>608</v>
      </c>
      <c r="C125" s="92">
        <f>+C93+C110+C122</f>
        <v>1211617179</v>
      </c>
      <c r="D125" s="92">
        <f>+D93+D110+D122</f>
        <v>1383966064</v>
      </c>
      <c r="E125" s="92">
        <f>+E93+E110+E122</f>
        <v>857484055</v>
      </c>
    </row>
    <row r="126" spans="1:5" ht="12" customHeight="1" thickBot="1" x14ac:dyDescent="0.25">
      <c r="A126" s="1" t="s">
        <v>237</v>
      </c>
      <c r="B126" s="81" t="s">
        <v>687</v>
      </c>
      <c r="C126" s="92">
        <f>+C127+C128+C129</f>
        <v>108486704</v>
      </c>
      <c r="D126" s="92">
        <f>+D127+D128+D129</f>
        <v>108486704</v>
      </c>
      <c r="E126" s="92">
        <f>+E127+E128+E129</f>
        <v>8118704</v>
      </c>
    </row>
    <row r="127" spans="1:5" ht="12" customHeight="1" x14ac:dyDescent="0.2">
      <c r="A127" s="197" t="s">
        <v>319</v>
      </c>
      <c r="B127" s="11" t="s">
        <v>610</v>
      </c>
      <c r="C127" s="40">
        <v>8486704</v>
      </c>
      <c r="D127" s="40">
        <v>8486704</v>
      </c>
      <c r="E127" s="40">
        <v>8118704</v>
      </c>
    </row>
    <row r="128" spans="1:5" ht="12" customHeight="1" x14ac:dyDescent="0.2">
      <c r="A128" s="197" t="s">
        <v>320</v>
      </c>
      <c r="B128" s="11" t="s">
        <v>611</v>
      </c>
      <c r="C128" s="40">
        <v>100000000</v>
      </c>
      <c r="D128" s="40">
        <v>100000000</v>
      </c>
      <c r="E128" s="40"/>
    </row>
    <row r="129" spans="1:11" ht="12" customHeight="1" thickBot="1" x14ac:dyDescent="0.25">
      <c r="A129" s="223" t="s">
        <v>321</v>
      </c>
      <c r="B129" s="7" t="s">
        <v>612</v>
      </c>
      <c r="C129" s="40"/>
      <c r="D129" s="40"/>
      <c r="E129" s="40"/>
    </row>
    <row r="130" spans="1:11" ht="12" customHeight="1" thickBot="1" x14ac:dyDescent="0.25">
      <c r="A130" s="1" t="s">
        <v>240</v>
      </c>
      <c r="B130" s="81" t="s">
        <v>613</v>
      </c>
      <c r="C130" s="92">
        <f>+C131+C132+C133+C134</f>
        <v>0</v>
      </c>
      <c r="D130" s="92">
        <f>+D131+D132+D133+D134</f>
        <v>0</v>
      </c>
      <c r="E130" s="92">
        <f>+E131+E132+E133+E134</f>
        <v>0</v>
      </c>
    </row>
    <row r="131" spans="1:11" ht="12" customHeight="1" x14ac:dyDescent="0.2">
      <c r="A131" s="197" t="s">
        <v>322</v>
      </c>
      <c r="B131" s="11" t="s">
        <v>614</v>
      </c>
      <c r="C131" s="40"/>
      <c r="D131" s="40"/>
      <c r="E131" s="40"/>
    </row>
    <row r="132" spans="1:11" ht="12" customHeight="1" x14ac:dyDescent="0.2">
      <c r="A132" s="197" t="s">
        <v>323</v>
      </c>
      <c r="B132" s="11" t="s">
        <v>615</v>
      </c>
      <c r="C132" s="40"/>
      <c r="D132" s="40"/>
      <c r="E132" s="40"/>
    </row>
    <row r="133" spans="1:11" ht="12" customHeight="1" x14ac:dyDescent="0.2">
      <c r="A133" s="197" t="s">
        <v>509</v>
      </c>
      <c r="B133" s="11" t="s">
        <v>616</v>
      </c>
      <c r="C133" s="40"/>
      <c r="D133" s="40"/>
      <c r="E133" s="40"/>
    </row>
    <row r="134" spans="1:11" s="218" customFormat="1" ht="12" customHeight="1" thickBot="1" x14ac:dyDescent="0.25">
      <c r="A134" s="223" t="s">
        <v>511</v>
      </c>
      <c r="B134" s="7" t="s">
        <v>617</v>
      </c>
      <c r="C134" s="40"/>
      <c r="D134" s="40"/>
      <c r="E134" s="40"/>
    </row>
    <row r="135" spans="1:11" ht="13.5" thickBot="1" x14ac:dyDescent="0.25">
      <c r="A135" s="1" t="s">
        <v>241</v>
      </c>
      <c r="B135" s="81" t="s">
        <v>688</v>
      </c>
      <c r="C135" s="227">
        <f>+C136+C137+C138+C140+C139</f>
        <v>1359916301</v>
      </c>
      <c r="D135" s="227">
        <f>+D136+D137+D138+D140+D139</f>
        <v>1351477271</v>
      </c>
      <c r="E135" s="227">
        <f>+E136+E137+E138+E140+E139</f>
        <v>1339303791</v>
      </c>
      <c r="K135" s="228"/>
    </row>
    <row r="136" spans="1:11" x14ac:dyDescent="0.2">
      <c r="A136" s="197" t="s">
        <v>324</v>
      </c>
      <c r="B136" s="11" t="s">
        <v>619</v>
      </c>
      <c r="C136" s="40"/>
      <c r="D136" s="40"/>
      <c r="E136" s="40"/>
    </row>
    <row r="137" spans="1:11" ht="12" customHeight="1" x14ac:dyDescent="0.2">
      <c r="A137" s="197" t="s">
        <v>325</v>
      </c>
      <c r="B137" s="11" t="s">
        <v>620</v>
      </c>
      <c r="C137" s="40">
        <v>38167591</v>
      </c>
      <c r="D137" s="40">
        <v>38167591</v>
      </c>
      <c r="E137" s="40">
        <v>38167591</v>
      </c>
    </row>
    <row r="138" spans="1:11" s="218" customFormat="1" ht="12" customHeight="1" x14ac:dyDescent="0.2">
      <c r="A138" s="197" t="s">
        <v>434</v>
      </c>
      <c r="B138" s="11" t="s">
        <v>689</v>
      </c>
      <c r="C138" s="40">
        <v>1321748710</v>
      </c>
      <c r="D138" s="40">
        <v>1313309680</v>
      </c>
      <c r="E138" s="40">
        <v>1301136200</v>
      </c>
    </row>
    <row r="139" spans="1:11" s="218" customFormat="1" ht="12" customHeight="1" x14ac:dyDescent="0.2">
      <c r="A139" s="197" t="s">
        <v>519</v>
      </c>
      <c r="B139" s="11" t="s">
        <v>621</v>
      </c>
      <c r="C139" s="40"/>
      <c r="D139" s="40"/>
      <c r="E139" s="40"/>
    </row>
    <row r="140" spans="1:11" s="218" customFormat="1" ht="12" customHeight="1" thickBot="1" x14ac:dyDescent="0.25">
      <c r="A140" s="223" t="s">
        <v>690</v>
      </c>
      <c r="B140" s="7" t="s">
        <v>622</v>
      </c>
      <c r="C140" s="40"/>
      <c r="D140" s="40"/>
      <c r="E140" s="40"/>
    </row>
    <row r="141" spans="1:11" s="218" customFormat="1" ht="12" customHeight="1" thickBot="1" x14ac:dyDescent="0.25">
      <c r="A141" s="1" t="s">
        <v>242</v>
      </c>
      <c r="B141" s="81" t="s">
        <v>691</v>
      </c>
      <c r="C141" s="229">
        <f>+C142+C143+C144+C145</f>
        <v>0</v>
      </c>
      <c r="D141" s="229">
        <f>+D142+D143+D144+D145</f>
        <v>0</v>
      </c>
      <c r="E141" s="229">
        <f>+E142+E143+E144+E145</f>
        <v>0</v>
      </c>
    </row>
    <row r="142" spans="1:11" s="218" customFormat="1" ht="12" customHeight="1" x14ac:dyDescent="0.2">
      <c r="A142" s="197" t="s">
        <v>435</v>
      </c>
      <c r="B142" s="11" t="s">
        <v>624</v>
      </c>
      <c r="C142" s="40"/>
      <c r="D142" s="40"/>
      <c r="E142" s="40"/>
    </row>
    <row r="143" spans="1:11" s="218" customFormat="1" ht="12" customHeight="1" x14ac:dyDescent="0.2">
      <c r="A143" s="197" t="s">
        <v>436</v>
      </c>
      <c r="B143" s="11" t="s">
        <v>625</v>
      </c>
      <c r="C143" s="40"/>
      <c r="D143" s="40"/>
      <c r="E143" s="40"/>
    </row>
    <row r="144" spans="1:11" s="218" customFormat="1" ht="12" customHeight="1" x14ac:dyDescent="0.2">
      <c r="A144" s="197" t="s">
        <v>524</v>
      </c>
      <c r="B144" s="11" t="s">
        <v>626</v>
      </c>
      <c r="C144" s="40"/>
      <c r="D144" s="40"/>
      <c r="E144" s="40"/>
    </row>
    <row r="145" spans="1:7" ht="12.75" customHeight="1" thickBot="1" x14ac:dyDescent="0.25">
      <c r="A145" s="197" t="s">
        <v>526</v>
      </c>
      <c r="B145" s="11" t="s">
        <v>627</v>
      </c>
      <c r="C145" s="40"/>
      <c r="D145" s="40"/>
      <c r="E145" s="40"/>
    </row>
    <row r="146" spans="1:7" ht="12" customHeight="1" thickBot="1" x14ac:dyDescent="0.25">
      <c r="A146" s="1" t="s">
        <v>243</v>
      </c>
      <c r="B146" s="81" t="s">
        <v>628</v>
      </c>
      <c r="C146" s="230">
        <f>+C126+C130+C135+C141</f>
        <v>1468403005</v>
      </c>
      <c r="D146" s="230">
        <f>+D126+D130+D135+D141</f>
        <v>1459963975</v>
      </c>
      <c r="E146" s="230">
        <f>+E126+E130+E135+E141</f>
        <v>1347422495</v>
      </c>
    </row>
    <row r="147" spans="1:7" ht="15" customHeight="1" thickBot="1" x14ac:dyDescent="0.25">
      <c r="A147" s="231" t="s">
        <v>244</v>
      </c>
      <c r="B147" s="89" t="s">
        <v>629</v>
      </c>
      <c r="C147" s="230">
        <f>+C125+C146</f>
        <v>2680020184</v>
      </c>
      <c r="D147" s="230">
        <f>+D125+D146</f>
        <v>2843930039</v>
      </c>
      <c r="E147" s="230">
        <f>+E125+E146</f>
        <v>2204906550</v>
      </c>
      <c r="G147" s="94"/>
    </row>
    <row r="148" spans="1:7" ht="13.5" thickBot="1" x14ac:dyDescent="0.25"/>
    <row r="149" spans="1:7" ht="15" customHeight="1" thickBot="1" x14ac:dyDescent="0.25">
      <c r="A149" s="235" t="s">
        <v>886</v>
      </c>
      <c r="B149" s="236"/>
      <c r="C149" s="237">
        <v>6</v>
      </c>
      <c r="D149" s="238">
        <v>6</v>
      </c>
      <c r="E149" s="239">
        <v>6</v>
      </c>
    </row>
    <row r="150" spans="1:7" ht="15" customHeight="1" thickBot="1" x14ac:dyDescent="0.25">
      <c r="A150" s="1194" t="s">
        <v>356</v>
      </c>
      <c r="B150" s="1195"/>
      <c r="C150" s="237"/>
      <c r="D150" s="238"/>
      <c r="E150" s="239"/>
    </row>
    <row r="151" spans="1:7" ht="14.25" customHeight="1" thickBot="1" x14ac:dyDescent="0.25">
      <c r="A151" s="235" t="s">
        <v>693</v>
      </c>
      <c r="B151" s="236"/>
      <c r="C151" s="237"/>
      <c r="D151" s="238"/>
      <c r="E151" s="239"/>
    </row>
  </sheetData>
  <sheetProtection formatCells="0"/>
  <mergeCells count="5">
    <mergeCell ref="A150:B150"/>
    <mergeCell ref="A7:E7"/>
    <mergeCell ref="A92:E92"/>
    <mergeCell ref="B2:D2"/>
    <mergeCell ref="B3:D3"/>
  </mergeCells>
  <phoneticPr fontId="24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69" fitToHeight="0" orientation="portrait" r:id="rId1"/>
  <headerFooter alignWithMargins="0"/>
  <rowBreaks count="1" manualBreakCount="1">
    <brk id="9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58"/>
  <sheetViews>
    <sheetView view="pageBreakPreview" zoomScale="60" zoomScaleNormal="100" workbookViewId="0">
      <selection activeCell="H48" sqref="H48"/>
    </sheetView>
  </sheetViews>
  <sheetFormatPr defaultColWidth="8" defaultRowHeight="12.75" x14ac:dyDescent="0.2"/>
  <cols>
    <col min="1" max="1" width="13.7109375" style="269" customWidth="1"/>
    <col min="2" max="2" width="50.85546875" style="191" customWidth="1"/>
    <col min="3" max="5" width="13.5703125" style="191" customWidth="1"/>
    <col min="6" max="6" width="12.7109375" style="191" bestFit="1" customWidth="1"/>
    <col min="7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831</v>
      </c>
    </row>
    <row r="2" spans="1:5" s="183" customFormat="1" ht="39" customHeight="1" x14ac:dyDescent="0.2">
      <c r="A2" s="181" t="s">
        <v>694</v>
      </c>
      <c r="B2" s="1199" t="s">
        <v>217</v>
      </c>
      <c r="C2" s="1200"/>
      <c r="D2" s="1201"/>
      <c r="E2" s="241" t="s">
        <v>695</v>
      </c>
    </row>
    <row r="3" spans="1:5" s="183" customFormat="1" ht="24.75" thickBot="1" x14ac:dyDescent="0.25">
      <c r="A3" s="184" t="s">
        <v>696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1129" t="s">
        <v>681</v>
      </c>
      <c r="B5" s="1130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'7.1. sz. mell'!C8+' 7.2.sz.mell.'!C8+'7.3. sz. mell.'!C8+'7.4. sz. mell.'!C8+'7.5. sz. mell.'!C8+'7.6. sz. mell. '!C8</f>
        <v>391040198</v>
      </c>
      <c r="D8" s="124">
        <f>'7.1. sz. mell'!D8+' 7.2.sz.mell.'!D8+'7.3. sz. mell.'!D8+'7.4. sz. mell.'!D8+'7.5. sz. mell.'!D8+'7.6. sz. mell. '!D8</f>
        <v>347070025</v>
      </c>
      <c r="E8" s="124">
        <f>'7.1. sz. mell'!E8+' 7.2.sz.mell.'!E8+'7.3. sz. mell.'!E8+'7.4. sz. mell.'!E8+'7.5. sz. mell.'!E8+'7.6. sz. mell. '!E8</f>
        <v>335362349</v>
      </c>
    </row>
    <row r="9" spans="1:5" s="198" customFormat="1" ht="12" customHeight="1" thickBot="1" x14ac:dyDescent="0.25">
      <c r="A9" s="245" t="s">
        <v>330</v>
      </c>
      <c r="B9" s="14" t="s">
        <v>485</v>
      </c>
      <c r="C9" s="124">
        <f>'7.1. sz. mell'!C9+' 7.2.sz.mell.'!C9+'7.3. sz. mell.'!C9+'7.4. sz. mell.'!C9+'7.5. sz. mell.'!C9+'7.6. sz. mell. '!C9</f>
        <v>20000</v>
      </c>
      <c r="D9" s="124">
        <f>'7.1. sz. mell'!D9+' 7.2.sz.mell.'!D9+'7.3. sz. mell.'!D9+'7.4. sz. mell.'!D9+'7.5. sz. mell.'!D9+'7.6. sz. mell. '!D9</f>
        <v>196645</v>
      </c>
      <c r="E9" s="124">
        <f>'7.1. sz. mell'!E9+' 7.2.sz.mell.'!E9+'7.3. sz. mell.'!E9+'7.4. sz. mell.'!E9+'7.5. sz. mell.'!E9+'7.6. sz. mell. '!E9</f>
        <v>514088</v>
      </c>
    </row>
    <row r="10" spans="1:5" s="198" customFormat="1" ht="12" customHeight="1" thickBot="1" x14ac:dyDescent="0.25">
      <c r="A10" s="248" t="s">
        <v>332</v>
      </c>
      <c r="B10" s="9" t="s">
        <v>496</v>
      </c>
      <c r="C10" s="124">
        <f>'7.1. sz. mell'!C10+' 7.2.sz.mell.'!C10+'7.3. sz. mell.'!C10+'7.4. sz. mell.'!C10+'7.5. sz. mell.'!C10+'7.6. sz. mell. '!C10</f>
        <v>58291756</v>
      </c>
      <c r="D10" s="124">
        <f>'7.1. sz. mell'!D10+' 7.2.sz.mell.'!D10+'7.3. sz. mell.'!D10+'7.4. sz. mell.'!D10+'7.5. sz. mell.'!D10+'7.6. sz. mell. '!D10</f>
        <v>53167419</v>
      </c>
      <c r="E10" s="124">
        <f>'7.1. sz. mell'!E10+' 7.2.sz.mell.'!E10+'7.3. sz. mell.'!E10+'7.4. sz. mell.'!E10+'7.5. sz. mell.'!E10+'7.6. sz. mell. '!E10</f>
        <v>51223130</v>
      </c>
    </row>
    <row r="11" spans="1:5" s="198" customFormat="1" ht="12" customHeight="1" thickBot="1" x14ac:dyDescent="0.25">
      <c r="A11" s="248" t="s">
        <v>333</v>
      </c>
      <c r="B11" s="9" t="s">
        <v>497</v>
      </c>
      <c r="C11" s="124">
        <f>'7.1. sz. mell'!C11+' 7.2.sz.mell.'!C11+'7.3. sz. mell.'!C11+'7.4. sz. mell.'!C11+'7.5. sz. mell.'!C11+'7.6. sz. mell. '!C11</f>
        <v>99520000</v>
      </c>
      <c r="D11" s="124">
        <f>'7.1. sz. mell'!D11+' 7.2.sz.mell.'!D11+'7.3. sz. mell.'!D11+'7.4. sz. mell.'!D11+'7.5. sz. mell.'!D11+'7.6. sz. mell. '!D11</f>
        <v>69641440</v>
      </c>
      <c r="E11" s="124">
        <f>'7.1. sz. mell'!E11+' 7.2.sz.mell.'!E11+'7.3. sz. mell.'!E11+'7.4. sz. mell.'!E11+'7.5. sz. mell.'!E11+'7.6. sz. mell. '!E11</f>
        <v>67855023</v>
      </c>
    </row>
    <row r="12" spans="1:5" s="198" customFormat="1" ht="12" customHeight="1" thickBot="1" x14ac:dyDescent="0.25">
      <c r="A12" s="248" t="s">
        <v>335</v>
      </c>
      <c r="B12" s="9" t="s">
        <v>498</v>
      </c>
      <c r="C12" s="124">
        <f>'7.1. sz. mell'!C12+' 7.2.sz.mell.'!C12+'7.3. sz. mell.'!C12+'7.4. sz. mell.'!C12+'7.5. sz. mell.'!C12+'7.6. sz. mell. '!C12</f>
        <v>0</v>
      </c>
      <c r="D12" s="124">
        <f>'7.1. sz. mell'!D12+' 7.2.sz.mell.'!D12+'7.3. sz. mell.'!D12+'7.4. sz. mell.'!D12+'7.5. sz. mell.'!D12+'7.6. sz. mell. '!D12</f>
        <v>0</v>
      </c>
      <c r="E12" s="124">
        <f>'7.1. sz. mell'!E12+' 7.2.sz.mell.'!E12+'7.3. sz. mell.'!E12+'7.4. sz. mell.'!E12+'7.5. sz. mell.'!E12+'7.6. sz. mell. '!E12</f>
        <v>0</v>
      </c>
    </row>
    <row r="13" spans="1:5" s="198" customFormat="1" ht="12" customHeight="1" thickBot="1" x14ac:dyDescent="0.25">
      <c r="A13" s="248" t="s">
        <v>457</v>
      </c>
      <c r="B13" s="9" t="s">
        <v>499</v>
      </c>
      <c r="C13" s="124">
        <f>'7.1. sz. mell'!C13+' 7.2.sz.mell.'!C13+'7.3. sz. mell.'!C13+'7.4. sz. mell.'!C13+'7.5. sz. mell.'!C13+'7.6. sz. mell. '!C13</f>
        <v>179085653</v>
      </c>
      <c r="D13" s="124">
        <f>'7.1. sz. mell'!D13+' 7.2.sz.mell.'!D13+'7.3. sz. mell.'!D13+'7.4. sz. mell.'!D13+'7.5. sz. mell.'!D13+'7.6. sz. mell. '!D13</f>
        <v>172385653</v>
      </c>
      <c r="E13" s="124">
        <f>'7.1. sz. mell'!E13+' 7.2.sz.mell.'!E13+'7.3. sz. mell.'!E13+'7.4. sz. mell.'!E13+'7.5. sz. mell.'!E13+'7.6. sz. mell. '!E13</f>
        <v>168360806</v>
      </c>
    </row>
    <row r="14" spans="1:5" s="198" customFormat="1" ht="12" customHeight="1" thickBot="1" x14ac:dyDescent="0.25">
      <c r="A14" s="248" t="s">
        <v>337</v>
      </c>
      <c r="B14" s="9" t="s">
        <v>698</v>
      </c>
      <c r="C14" s="124">
        <f>'7.1. sz. mell'!C14+' 7.2.sz.mell.'!C14+'7.3. sz. mell.'!C14+'7.4. sz. mell.'!C14+'7.5. sz. mell.'!C14+'7.6. sz. mell. '!C14</f>
        <v>35811789</v>
      </c>
      <c r="D14" s="124">
        <f>'7.1. sz. mell'!D14+' 7.2.sz.mell.'!D14+'7.3. sz. mell.'!D14+'7.4. sz. mell.'!D14+'7.5. sz. mell.'!D14+'7.6. sz. mell. '!D14</f>
        <v>28710019</v>
      </c>
      <c r="E14" s="124">
        <f>'7.1. sz. mell'!E14+' 7.2.sz.mell.'!E14+'7.3. sz. mell.'!E14+'7.4. sz. mell.'!E14+'7.5. sz. mell.'!E14+'7.6. sz. mell. '!E14</f>
        <v>26056631</v>
      </c>
    </row>
    <row r="15" spans="1:5" s="200" customFormat="1" ht="12" customHeight="1" thickBot="1" x14ac:dyDescent="0.25">
      <c r="A15" s="248" t="s">
        <v>338</v>
      </c>
      <c r="B15" s="7" t="s">
        <v>699</v>
      </c>
      <c r="C15" s="124">
        <f>'7.1. sz. mell'!C15+' 7.2.sz.mell.'!C15+'7.3. sz. mell.'!C15+'7.4. sz. mell.'!C15+'7.5. sz. mell.'!C15+'7.6. sz. mell. '!C15</f>
        <v>18210000</v>
      </c>
      <c r="D15" s="124">
        <f>'7.1. sz. mell'!D15+' 7.2.sz.mell.'!D15+'7.3. sz. mell.'!D15+'7.4. sz. mell.'!D15+'7.5. sz. mell.'!D15+'7.6. sz. mell. '!D15</f>
        <v>18210000</v>
      </c>
      <c r="E15" s="124">
        <f>'7.1. sz. mell'!E15+' 7.2.sz.mell.'!E15+'7.3. sz. mell.'!E15+'7.4. sz. mell.'!E15+'7.5. sz. mell.'!E15+'7.6. sz. mell. '!E15</f>
        <v>17251000</v>
      </c>
    </row>
    <row r="16" spans="1:5" s="200" customFormat="1" ht="12" customHeight="1" thickBot="1" x14ac:dyDescent="0.25">
      <c r="A16" s="248" t="s">
        <v>339</v>
      </c>
      <c r="B16" s="9" t="s">
        <v>502</v>
      </c>
      <c r="C16" s="124">
        <f>'7.1. sz. mell'!C16+' 7.2.sz.mell.'!C16+'7.3. sz. mell.'!C16+'7.4. sz. mell.'!C16+'7.5. sz. mell.'!C16+'7.6. sz. mell. '!C16</f>
        <v>1000</v>
      </c>
      <c r="D16" s="124">
        <f>'7.1. sz. mell'!D16+' 7.2.sz.mell.'!D16+'7.3. sz. mell.'!D16+'7.4. sz. mell.'!D16+'7.5. sz. mell.'!D16+'7.6. sz. mell. '!D16</f>
        <v>1000</v>
      </c>
      <c r="E16" s="124">
        <f>'7.1. sz. mell'!E16+' 7.2.sz.mell.'!E16+'7.3. sz. mell.'!E16+'7.4. sz. mell.'!E16+'7.5. sz. mell.'!E16+'7.6. sz. mell. '!E16</f>
        <v>5</v>
      </c>
    </row>
    <row r="17" spans="1:5" s="198" customFormat="1" ht="12" customHeight="1" thickBot="1" x14ac:dyDescent="0.25">
      <c r="A17" s="248" t="s">
        <v>340</v>
      </c>
      <c r="B17" s="9" t="s">
        <v>504</v>
      </c>
      <c r="C17" s="124">
        <f>'7.1. sz. mell'!C17+' 7.2.sz.mell.'!C17+'7.3. sz. mell.'!C17+'7.4. sz. mell.'!C17+'7.5. sz. mell.'!C17+'7.6. sz. mell. '!C17</f>
        <v>0</v>
      </c>
      <c r="D17" s="124">
        <f>'7.1. sz. mell'!D17+' 7.2.sz.mell.'!D17+'7.3. sz. mell.'!D17+'7.4. sz. mell.'!D17+'7.5. sz. mell.'!D17+'7.6. sz. mell. '!D17</f>
        <v>0</v>
      </c>
      <c r="E17" s="124">
        <f>'7.1. sz. mell'!E17+' 7.2.sz.mell.'!E17+'7.3. sz. mell.'!E17+'7.4. sz. mell.'!E17+'7.5. sz. mell.'!E17+'7.6. sz. mell. '!E17</f>
        <v>1</v>
      </c>
    </row>
    <row r="18" spans="1:5" s="200" customFormat="1" ht="12" customHeight="1" thickBot="1" x14ac:dyDescent="0.25">
      <c r="A18" s="248" t="s">
        <v>341</v>
      </c>
      <c r="B18" s="7" t="s">
        <v>506</v>
      </c>
      <c r="C18" s="124">
        <f>'7.1. sz. mell'!C18+' 7.2.sz.mell.'!C18+'7.3. sz. mell.'!C18+'7.4. sz. mell.'!C18+'7.5. sz. mell.'!C18+'7.6. sz. mell. '!C18</f>
        <v>100000</v>
      </c>
      <c r="D18" s="124">
        <f>'7.1. sz. mell'!D18+' 7.2.sz.mell.'!D18+'7.3. sz. mell.'!D18+'7.4. sz. mell.'!D18+'7.5. sz. mell.'!D18+'7.6. sz. mell. '!D18</f>
        <v>4757849</v>
      </c>
      <c r="E18" s="124">
        <f>'7.1. sz. mell'!E18+' 7.2.sz.mell.'!E18+'7.3. sz. mell.'!E18+'7.4. sz. mell.'!E18+'7.5. sz. mell.'!E18+'7.6. sz. mell. '!E18</f>
        <v>4101665</v>
      </c>
    </row>
    <row r="19" spans="1:5" s="200" customFormat="1" ht="21.75" thickBot="1" x14ac:dyDescent="0.25">
      <c r="A19" s="192" t="s">
        <v>234</v>
      </c>
      <c r="B19" s="243" t="s">
        <v>700</v>
      </c>
      <c r="C19" s="124">
        <f>'7.1. sz. mell'!C19+' 7.2.sz.mell.'!C19+'7.3. sz. mell.'!C19+'7.4. sz. mell.'!C19+'7.5. sz. mell.'!C19+'7.6. sz. mell. '!C19</f>
        <v>22608772</v>
      </c>
      <c r="D19" s="124">
        <f>'7.1. sz. mell'!D19+' 7.2.sz.mell.'!D19+'7.3. sz. mell.'!D19+'7.4. sz. mell.'!D19+'7.5. sz. mell.'!D19+'7.6. sz. mell. '!D19</f>
        <v>27586405</v>
      </c>
      <c r="E19" s="124">
        <f>'7.1. sz. mell'!E19+' 7.2.sz.mell.'!E19+'7.3. sz. mell.'!E19+'7.4. sz. mell.'!E19+'7.5. sz. mell.'!E19+'7.6. sz. mell. '!E19</f>
        <v>27583182</v>
      </c>
    </row>
    <row r="20" spans="1:5" s="200" customFormat="1" ht="12" customHeight="1" thickBot="1" x14ac:dyDescent="0.25">
      <c r="A20" s="248" t="s">
        <v>344</v>
      </c>
      <c r="B20" s="11" t="s">
        <v>461</v>
      </c>
      <c r="C20" s="124">
        <f>'7.1. sz. mell'!C20+' 7.2.sz.mell.'!C20+'7.3. sz. mell.'!C20+'7.4. sz. mell.'!C20+'7.5. sz. mell.'!C20+'7.6. sz. mell. '!C20</f>
        <v>0</v>
      </c>
      <c r="D20" s="124">
        <f>'7.1. sz. mell'!D20+' 7.2.sz.mell.'!D20+'7.3. sz. mell.'!D20+'7.4. sz. mell.'!D20+'7.5. sz. mell.'!D20+'7.6. sz. mell. '!D20</f>
        <v>0</v>
      </c>
      <c r="E20" s="124">
        <f>'7.1. sz. mell'!E20+' 7.2.sz.mell.'!E20+'7.3. sz. mell.'!E20+'7.4. sz. mell.'!E20+'7.5. sz. mell.'!E20+'7.6. sz. mell. '!E20</f>
        <v>0</v>
      </c>
    </row>
    <row r="21" spans="1:5" s="200" customFormat="1" ht="12" customHeight="1" thickBot="1" x14ac:dyDescent="0.25">
      <c r="A21" s="248" t="s">
        <v>345</v>
      </c>
      <c r="B21" s="9" t="s">
        <v>701</v>
      </c>
      <c r="C21" s="124">
        <f>'7.1. sz. mell'!C21+' 7.2.sz.mell.'!C21+'7.3. sz. mell.'!C21+'7.4. sz. mell.'!C21+'7.5. sz. mell.'!C21+'7.6. sz. mell. '!C21</f>
        <v>0</v>
      </c>
      <c r="D21" s="124">
        <f>'7.1. sz. mell'!D21+' 7.2.sz.mell.'!D21+'7.3. sz. mell.'!D21+'7.4. sz. mell.'!D21+'7.5. sz. mell.'!D21+'7.6. sz. mell. '!D21</f>
        <v>0</v>
      </c>
      <c r="E21" s="124">
        <f>'7.1. sz. mell'!E21+' 7.2.sz.mell.'!E21+'7.3. sz. mell.'!E21+'7.4. sz. mell.'!E21+'7.5. sz. mell.'!E21+'7.6. sz. mell. '!E21</f>
        <v>0</v>
      </c>
    </row>
    <row r="22" spans="1:5" s="200" customFormat="1" ht="12" customHeight="1" thickBot="1" x14ac:dyDescent="0.25">
      <c r="A22" s="248" t="s">
        <v>346</v>
      </c>
      <c r="B22" s="9" t="s">
        <v>702</v>
      </c>
      <c r="C22" s="124">
        <f>'7.1. sz. mell'!C22+' 7.2.sz.mell.'!C22+'7.3. sz. mell.'!C22+'7.4. sz. mell.'!C22+'7.5. sz. mell.'!C22+'7.6. sz. mell. '!C22</f>
        <v>22608772</v>
      </c>
      <c r="D22" s="124">
        <f>'7.1. sz. mell'!D22+' 7.2.sz.mell.'!D22+'7.3. sz. mell.'!D22+'7.4. sz. mell.'!D22+'7.5. sz. mell.'!D22+'7.6. sz. mell. '!D22</f>
        <v>27586405</v>
      </c>
      <c r="E22" s="124">
        <f>'7.1. sz. mell'!E22+' 7.2.sz.mell.'!E22+'7.3. sz. mell.'!E22+'7.4. sz. mell.'!E22+'7.5. sz. mell.'!E22+'7.6. sz. mell. '!E22</f>
        <v>27583182</v>
      </c>
    </row>
    <row r="23" spans="1:5" s="200" customFormat="1" ht="12" customHeight="1" thickBot="1" x14ac:dyDescent="0.25">
      <c r="A23" s="248" t="s">
        <v>347</v>
      </c>
      <c r="B23" s="9" t="s">
        <v>703</v>
      </c>
      <c r="C23" s="124">
        <f>'7.1. sz. mell'!C23+' 7.2.sz.mell.'!C23+'7.3. sz. mell.'!C23+'7.4. sz. mell.'!C23+'7.5. sz. mell.'!C23+'7.6. sz. mell. '!C23</f>
        <v>0</v>
      </c>
      <c r="D23" s="124">
        <f>'7.1. sz. mell'!D23+' 7.2.sz.mell.'!D23+'7.3. sz. mell.'!D23+'7.4. sz. mell.'!D23+'7.5. sz. mell.'!D23+'7.6. sz. mell. '!D23</f>
        <v>399535</v>
      </c>
      <c r="E23" s="124">
        <f>'7.1. sz. mell'!E23+' 7.2.sz.mell.'!E23+'7.3. sz. mell.'!E23+'7.4. sz. mell.'!E23+'7.5. sz. mell.'!E23+'7.6. sz. mell. '!E23</f>
        <v>2611610</v>
      </c>
    </row>
    <row r="24" spans="1:5" s="200" customFormat="1" ht="12" customHeight="1" thickBot="1" x14ac:dyDescent="0.25">
      <c r="A24" s="252" t="s">
        <v>235</v>
      </c>
      <c r="B24" s="81" t="s">
        <v>303</v>
      </c>
      <c r="C24" s="124">
        <f>'7.1. sz. mell'!C24+' 7.2.sz.mell.'!C24+'7.3. sz. mell.'!C24+'7.4. sz. mell.'!C24+'7.5. sz. mell.'!C24+'7.6. sz. mell. '!C24</f>
        <v>0</v>
      </c>
      <c r="D24" s="124">
        <f>'7.1. sz. mell'!D24+' 7.2.sz.mell.'!D24+'7.3. sz. mell.'!D24+'7.4. sz. mell.'!D24+'7.5. sz. mell.'!D24+'7.6. sz. mell. '!D24</f>
        <v>0</v>
      </c>
      <c r="E24" s="124">
        <f>'7.1. sz. mell'!E24+' 7.2.sz.mell.'!E24+'7.3. sz. mell.'!E24+'7.4. sz. mell.'!E24+'7.5. sz. mell.'!E24+'7.6. sz. mell. '!E24</f>
        <v>0</v>
      </c>
    </row>
    <row r="25" spans="1:5" s="200" customFormat="1" ht="21.75" thickBot="1" x14ac:dyDescent="0.25">
      <c r="A25" s="252" t="s">
        <v>236</v>
      </c>
      <c r="B25" s="81" t="s">
        <v>704</v>
      </c>
      <c r="C25" s="124">
        <f>'7.1. sz. mell'!C25+' 7.2.sz.mell.'!C25+'7.3. sz. mell.'!C25+'7.4. sz. mell.'!C25+'7.5. sz. mell.'!C25+'7.6. sz. mell. '!C25</f>
        <v>0</v>
      </c>
      <c r="D25" s="124">
        <f>'7.1. sz. mell'!D25+' 7.2.sz.mell.'!D25+'7.3. sz. mell.'!D25+'7.4. sz. mell.'!D25+'7.5. sz. mell.'!D25+'7.6. sz. mell. '!D25</f>
        <v>4353475</v>
      </c>
      <c r="E25" s="124">
        <f>'7.1. sz. mell'!E25+' 7.2.sz.mell.'!E25+'7.3. sz. mell.'!E25+'7.4. sz. mell.'!E25+'7.5. sz. mell.'!E25+'7.6. sz. mell. '!E25</f>
        <v>4339000</v>
      </c>
    </row>
    <row r="26" spans="1:5" s="200" customFormat="1" ht="12" customHeight="1" thickBot="1" x14ac:dyDescent="0.25">
      <c r="A26" s="255" t="s">
        <v>317</v>
      </c>
      <c r="B26" s="256" t="s">
        <v>701</v>
      </c>
      <c r="C26" s="124">
        <f>'7.1. sz. mell'!C26+' 7.2.sz.mell.'!C26+'7.3. sz. mell.'!C26+'7.4. sz. mell.'!C26+'7.5. sz. mell.'!C26+'7.6. sz. mell. '!C26</f>
        <v>0</v>
      </c>
      <c r="D26" s="124">
        <f>'7.1. sz. mell'!D26+' 7.2.sz.mell.'!D26+'7.3. sz. mell.'!D26+'7.4. sz. mell.'!D26+'7.5. sz. mell.'!D26+'7.6. sz. mell. '!D26</f>
        <v>0</v>
      </c>
      <c r="E26" s="124">
        <f>'7.1. sz. mell'!E26+' 7.2.sz.mell.'!E26+'7.3. sz. mell.'!E26+'7.4. sz. mell.'!E26+'7.5. sz. mell.'!E26+'7.6. sz. mell. '!E26</f>
        <v>0</v>
      </c>
    </row>
    <row r="27" spans="1:5" s="200" customFormat="1" ht="12" customHeight="1" thickBot="1" x14ac:dyDescent="0.25">
      <c r="A27" s="255" t="s">
        <v>318</v>
      </c>
      <c r="B27" s="258" t="s">
        <v>705</v>
      </c>
      <c r="C27" s="124">
        <f>'7.1. sz. mell'!C27+' 7.2.sz.mell.'!C27+'7.3. sz. mell.'!C27+'7.4. sz. mell.'!C27+'7.5. sz. mell.'!C27+'7.6. sz. mell. '!C27</f>
        <v>0</v>
      </c>
      <c r="D27" s="124">
        <f>'7.1. sz. mell'!D27+' 7.2.sz.mell.'!D27+'7.3. sz. mell.'!D27+'7.4. sz. mell.'!D27+'7.5. sz. mell.'!D27+'7.6. sz. mell. '!D27</f>
        <v>4353475</v>
      </c>
      <c r="E27" s="124">
        <f>'7.1. sz. mell'!E27+' 7.2.sz.mell.'!E27+'7.3. sz. mell.'!E27+'7.4. sz. mell.'!E27+'7.5. sz. mell.'!E27+'7.6. sz. mell. '!E27</f>
        <v>4339000</v>
      </c>
    </row>
    <row r="28" spans="1:5" s="200" customFormat="1" ht="12" customHeight="1" thickBot="1" x14ac:dyDescent="0.25">
      <c r="A28" s="248" t="s">
        <v>481</v>
      </c>
      <c r="B28" s="260" t="s">
        <v>706</v>
      </c>
      <c r="C28" s="124">
        <f>'7.1. sz. mell'!C28+' 7.2.sz.mell.'!C28+'7.3. sz. mell.'!C28+'7.4. sz. mell.'!C28+'7.5. sz. mell.'!C28+'7.6. sz. mell. '!C28</f>
        <v>0</v>
      </c>
      <c r="D28" s="124">
        <f>'7.1. sz. mell'!D28+' 7.2.sz.mell.'!D28+'7.3. sz. mell.'!D28+'7.4. sz. mell.'!D28+'7.5. sz. mell.'!D28+'7.6. sz. mell. '!D28</f>
        <v>0</v>
      </c>
      <c r="E28" s="124">
        <f>'7.1. sz. mell'!E28+' 7.2.sz.mell.'!E28+'7.3. sz. mell.'!E28+'7.4. sz. mell.'!E28+'7.5. sz. mell.'!E28+'7.6. sz. mell. '!E28</f>
        <v>0</v>
      </c>
    </row>
    <row r="29" spans="1:5" s="200" customFormat="1" ht="12" customHeight="1" thickBot="1" x14ac:dyDescent="0.25">
      <c r="A29" s="252" t="s">
        <v>237</v>
      </c>
      <c r="B29" s="81" t="s">
        <v>707</v>
      </c>
      <c r="C29" s="124">
        <f>'7.1. sz. mell'!C29+' 7.2.sz.mell.'!C29+'7.3. sz. mell.'!C29+'7.4. sz. mell.'!C29+'7.5. sz. mell.'!C29+'7.6. sz. mell. '!C29</f>
        <v>0</v>
      </c>
      <c r="D29" s="124">
        <f>'7.1. sz. mell'!D29+' 7.2.sz.mell.'!D29+'7.3. sz. mell.'!D29+'7.4. sz. mell.'!D29+'7.5. sz. mell.'!D29+'7.6. sz. mell. '!D29</f>
        <v>0</v>
      </c>
      <c r="E29" s="124">
        <f>'7.1. sz. mell'!E29+' 7.2.sz.mell.'!E29+'7.3. sz. mell.'!E29+'7.4. sz. mell.'!E29+'7.5. sz. mell.'!E29+'7.6. sz. mell. '!E29</f>
        <v>18854</v>
      </c>
    </row>
    <row r="30" spans="1:5" s="200" customFormat="1" ht="12" customHeight="1" thickBot="1" x14ac:dyDescent="0.25">
      <c r="A30" s="255" t="s">
        <v>319</v>
      </c>
      <c r="B30" s="256" t="s">
        <v>508</v>
      </c>
      <c r="C30" s="124">
        <f>'7.1. sz. mell'!C30+' 7.2.sz.mell.'!C30+'7.3. sz. mell.'!C30+'7.4. sz. mell.'!C30+'7.5. sz. mell.'!C30+'7.6. sz. mell. '!C30</f>
        <v>0</v>
      </c>
      <c r="D30" s="124">
        <f>'7.1. sz. mell'!D30+' 7.2.sz.mell.'!D30+'7.3. sz. mell.'!D30+'7.4. sz. mell.'!D30+'7.5. sz. mell.'!D30+'7.6. sz. mell. '!D30</f>
        <v>0</v>
      </c>
      <c r="E30" s="124">
        <f>'7.1. sz. mell'!E30+' 7.2.sz.mell.'!E30+'7.3. sz. mell.'!E30+'7.4. sz. mell.'!E30+'7.5. sz. mell.'!E30+'7.6. sz. mell. '!E30</f>
        <v>0</v>
      </c>
    </row>
    <row r="31" spans="1:5" s="200" customFormat="1" ht="12" customHeight="1" thickBot="1" x14ac:dyDescent="0.25">
      <c r="A31" s="255" t="s">
        <v>320</v>
      </c>
      <c r="B31" s="258" t="s">
        <v>199</v>
      </c>
      <c r="C31" s="124">
        <f>'7.1. sz. mell'!C31+' 7.2.sz.mell.'!C31+'7.3. sz. mell.'!C31+'7.4. sz. mell.'!C31+'7.5. sz. mell.'!C31+'7.6. sz. mell. '!C31</f>
        <v>0</v>
      </c>
      <c r="D31" s="124">
        <f>'7.1. sz. mell'!D31+' 7.2.sz.mell.'!D31+'7.3. sz. mell.'!D31+'7.4. sz. mell.'!D31+'7.5. sz. mell.'!D31+'7.6. sz. mell. '!D31</f>
        <v>0</v>
      </c>
      <c r="E31" s="124">
        <f>'7.1. sz. mell'!E31+' 7.2.sz.mell.'!E31+'7.3. sz. mell.'!E31+'7.4. sz. mell.'!E31+'7.5. sz. mell.'!E31+'7.6. sz. mell. '!E31</f>
        <v>0</v>
      </c>
    </row>
    <row r="32" spans="1:5" s="200" customFormat="1" ht="12" customHeight="1" thickBot="1" x14ac:dyDescent="0.25">
      <c r="A32" s="248" t="s">
        <v>321</v>
      </c>
      <c r="B32" s="263" t="s">
        <v>510</v>
      </c>
      <c r="C32" s="124">
        <f>'7.1. sz. mell'!C32+' 7.2.sz.mell.'!C32+'7.3. sz. mell.'!C32+'7.4. sz. mell.'!C32+'7.5. sz. mell.'!C32+'7.6. sz. mell. '!C32</f>
        <v>0</v>
      </c>
      <c r="D32" s="124">
        <f>'7.1. sz. mell'!D32+' 7.2.sz.mell.'!D32+'7.3. sz. mell.'!D32+'7.4. sz. mell.'!D32+'7.5. sz. mell.'!D32+'7.6. sz. mell. '!D32</f>
        <v>0</v>
      </c>
      <c r="E32" s="124">
        <f>'7.1. sz. mell'!E32+' 7.2.sz.mell.'!E32+'7.3. sz. mell.'!E32+'7.4. sz. mell.'!E32+'7.5. sz. mell.'!E32+'7.6. sz. mell. '!E32</f>
        <v>18854</v>
      </c>
    </row>
    <row r="33" spans="1:6" s="200" customFormat="1" ht="12" customHeight="1" thickBot="1" x14ac:dyDescent="0.25">
      <c r="A33" s="252" t="s">
        <v>240</v>
      </c>
      <c r="B33" s="81" t="s">
        <v>641</v>
      </c>
      <c r="C33" s="124">
        <f>'7.1. sz. mell'!C33+' 7.2.sz.mell.'!C33+'7.3. sz. mell.'!C33+'7.4. sz. mell.'!C33+'7.5. sz. mell.'!C33+'7.6. sz. mell. '!C33</f>
        <v>0</v>
      </c>
      <c r="D33" s="124">
        <f>'7.1. sz. mell'!D33+' 7.2.sz.mell.'!D33+'7.3. sz. mell.'!D33+'7.4. sz. mell.'!D33+'7.5. sz. mell.'!D33+'7.6. sz. mell. '!D33</f>
        <v>438000</v>
      </c>
      <c r="E33" s="124">
        <f>'7.1. sz. mell'!E33+' 7.2.sz.mell.'!E33+'7.3. sz. mell.'!E33+'7.4. sz. mell.'!E33+'7.5. sz. mell.'!E33+'7.6. sz. mell. '!E33</f>
        <v>532115</v>
      </c>
    </row>
    <row r="34" spans="1:6" s="198" customFormat="1" ht="12" customHeight="1" thickBot="1" x14ac:dyDescent="0.25">
      <c r="A34" s="252" t="s">
        <v>241</v>
      </c>
      <c r="B34" s="81" t="s">
        <v>708</v>
      </c>
      <c r="C34" s="124">
        <f>'7.1. sz. mell'!C34+' 7.2.sz.mell.'!C34+'7.3. sz. mell.'!C34+'7.4. sz. mell.'!C34+'7.5. sz. mell.'!C34+'7.6. sz. mell. '!C34</f>
        <v>0</v>
      </c>
      <c r="D34" s="124">
        <f>'7.1. sz. mell'!D34+' 7.2.sz.mell.'!D34+'7.3. sz. mell.'!D34+'7.4. sz. mell.'!D34+'7.5. sz. mell.'!D34+'7.6. sz. mell. '!D34</f>
        <v>20000</v>
      </c>
      <c r="E34" s="124">
        <f>'7.1. sz. mell'!E34+' 7.2.sz.mell.'!E34+'7.3. sz. mell.'!E34+'7.4. sz. mell.'!E34+'7.5. sz. mell.'!E34+'7.6. sz. mell. '!E34</f>
        <v>20000</v>
      </c>
    </row>
    <row r="35" spans="1:6" s="198" customFormat="1" ht="12" customHeight="1" thickBot="1" x14ac:dyDescent="0.25">
      <c r="A35" s="192" t="s">
        <v>242</v>
      </c>
      <c r="B35" s="81" t="s">
        <v>709</v>
      </c>
      <c r="C35" s="124">
        <f>'7.1. sz. mell'!C35+' 7.2.sz.mell.'!C35+'7.3. sz. mell.'!C35+'7.4. sz. mell.'!C35+'7.5. sz. mell.'!C35+'7.6. sz. mell. '!C35</f>
        <v>413648970</v>
      </c>
      <c r="D35" s="124">
        <f>'7.1. sz. mell'!D35+' 7.2.sz.mell.'!D35+'7.3. sz. mell.'!D35+'7.4. sz. mell.'!D35+'7.5. sz. mell.'!D35+'7.6. sz. mell. '!D35</f>
        <v>379467905</v>
      </c>
      <c r="E35" s="124">
        <f>'7.1. sz. mell'!E35+' 7.2.sz.mell.'!E35+'7.3. sz. mell.'!E35+'7.4. sz. mell.'!E35+'7.5. sz. mell.'!E35+'7.6. sz. mell. '!E35</f>
        <v>367855500</v>
      </c>
    </row>
    <row r="36" spans="1:6" s="198" customFormat="1" ht="12" customHeight="1" thickBot="1" x14ac:dyDescent="0.25">
      <c r="A36" s="1003" t="s">
        <v>243</v>
      </c>
      <c r="B36" s="81" t="s">
        <v>710</v>
      </c>
      <c r="C36" s="124">
        <f>'7.1. sz. mell'!C36+' 7.2.sz.mell.'!C36+'7.3. sz. mell.'!C36+'7.4. sz. mell.'!C36+'7.5. sz. mell.'!C36+'7.6. sz. mell. '!C36</f>
        <v>1347858859</v>
      </c>
      <c r="D36" s="124">
        <f>'7.1. sz. mell'!D36+' 7.2.sz.mell.'!D36+'7.3. sz. mell.'!D36+'7.4. sz. mell.'!D36+'7.5. sz. mell.'!D36+'7.6. sz. mell. '!D36</f>
        <v>1339483122</v>
      </c>
      <c r="E36" s="124">
        <f>'7.1. sz. mell'!E36+' 7.2.sz.mell.'!E36+'7.3. sz. mell.'!E36+'7.4. sz. mell.'!E36+'7.5. sz. mell.'!E36+'7.6. sz. mell. '!E36</f>
        <v>1327309642</v>
      </c>
    </row>
    <row r="37" spans="1:6" s="198" customFormat="1" ht="12" customHeight="1" thickBot="1" x14ac:dyDescent="0.25">
      <c r="A37" s="255" t="s">
        <v>711</v>
      </c>
      <c r="B37" s="256" t="s">
        <v>145</v>
      </c>
      <c r="C37" s="124">
        <f>'7.1. sz. mell'!C37+' 7.2.sz.mell.'!C37+'7.3. sz. mell.'!C37+'7.4. sz. mell.'!C37+'7.5. sz. mell.'!C37+'7.6. sz. mell. '!C37</f>
        <v>26110149</v>
      </c>
      <c r="D37" s="124">
        <f>'7.1. sz. mell'!D37+' 7.2.sz.mell.'!D37+'7.3. sz. mell.'!D37+'7.4. sz. mell.'!D37+'7.5. sz. mell.'!D37+'7.6. sz. mell. '!D37</f>
        <v>26173442</v>
      </c>
      <c r="E37" s="124">
        <f>'7.1. sz. mell'!E37+' 7.2.sz.mell.'!E37+'7.3. sz. mell.'!E37+'7.4. sz. mell.'!E37+'7.5. sz. mell.'!E37+'7.6. sz. mell. '!E37</f>
        <v>26173442</v>
      </c>
    </row>
    <row r="38" spans="1:6" s="200" customFormat="1" ht="12" customHeight="1" thickBot="1" x14ac:dyDescent="0.25">
      <c r="A38" s="255" t="s">
        <v>712</v>
      </c>
      <c r="B38" s="258" t="s">
        <v>437</v>
      </c>
      <c r="C38" s="124">
        <f>'7.1. sz. mell'!C38+' 7.2.sz.mell.'!C38+'7.3. sz. mell.'!C38+'7.4. sz. mell.'!C38+'7.5. sz. mell.'!C38+'7.6. sz. mell. '!C38</f>
        <v>0</v>
      </c>
      <c r="D38" s="124">
        <f>'7.1. sz. mell'!D38+' 7.2.sz.mell.'!D38+'7.3. sz. mell.'!D38+'7.4. sz. mell.'!D38+'7.5. sz. mell.'!D38+'7.6. sz. mell. '!D38</f>
        <v>0</v>
      </c>
      <c r="E38" s="124">
        <f>'7.1. sz. mell'!E38+' 7.2.sz.mell.'!E38+'7.3. sz. mell.'!E38+'7.4. sz. mell.'!E38+'7.5. sz. mell.'!E38+'7.6. sz. mell. '!E38</f>
        <v>0</v>
      </c>
    </row>
    <row r="39" spans="1:6" s="200" customFormat="1" ht="12" customHeight="1" thickBot="1" x14ac:dyDescent="0.25">
      <c r="A39" s="248" t="s">
        <v>713</v>
      </c>
      <c r="B39" s="263" t="s">
        <v>714</v>
      </c>
      <c r="C39" s="124">
        <f>'7.1. sz. mell'!C39+' 7.2.sz.mell.'!C39+'7.3. sz. mell.'!C39+'7.4. sz. mell.'!C39+'7.5. sz. mell.'!C39+'7.6. sz. mell. '!C39</f>
        <v>1321748710</v>
      </c>
      <c r="D39" s="124">
        <f>'7.1. sz. mell'!D39+' 7.2.sz.mell.'!D39+'7.3. sz. mell.'!D39+'7.4. sz. mell.'!D39+'7.5. sz. mell.'!D39+'7.6. sz. mell. '!D39</f>
        <v>1313309680</v>
      </c>
      <c r="E39" s="124">
        <f>'7.1. sz. mell'!E39+' 7.2.sz.mell.'!E39+'7.3. sz. mell.'!E39+'7.4. sz. mell.'!E39+'7.5. sz. mell.'!E39+'7.6. sz. mell. '!E39</f>
        <v>1301136200</v>
      </c>
      <c r="F39" s="1133"/>
    </row>
    <row r="40" spans="1:6" s="200" customFormat="1" ht="15" customHeight="1" thickBot="1" x14ac:dyDescent="0.25">
      <c r="A40" s="1003" t="s">
        <v>244</v>
      </c>
      <c r="B40" s="265" t="s">
        <v>715</v>
      </c>
      <c r="C40" s="124">
        <f>'7.1. sz. mell'!C40+' 7.2.sz.mell.'!C40+'7.3. sz. mell.'!C40+'7.4. sz. mell.'!C40+'7.5. sz. mell.'!C40+'7.6. sz. mell. '!C40</f>
        <v>1761507829</v>
      </c>
      <c r="D40" s="124">
        <f>'7.1. sz. mell'!D40+' 7.2.sz.mell.'!D40+'7.3. sz. mell.'!D40+'7.4. sz. mell.'!D40+'7.5. sz. mell.'!D40+'7.6. sz. mell. '!D40</f>
        <v>1718951027</v>
      </c>
      <c r="E40" s="124">
        <f>'7.1. sz. mell'!E40+' 7.2.sz.mell.'!E40+'7.3. sz. mell.'!E40+'7.4. sz. mell.'!E40+'7.5. sz. mell.'!E40+'7.6. sz. mell. '!E40</f>
        <v>1695165142</v>
      </c>
      <c r="F40" s="1133"/>
    </row>
    <row r="41" spans="1:6" s="200" customFormat="1" ht="15" customHeight="1" x14ac:dyDescent="0.2">
      <c r="A41" s="210"/>
      <c r="B41" s="211"/>
      <c r="C41" s="212"/>
      <c r="D41" s="212"/>
      <c r="E41" s="212"/>
    </row>
    <row r="42" spans="1:6" ht="13.5" thickBot="1" x14ac:dyDescent="0.25">
      <c r="A42" s="213"/>
      <c r="B42" s="214"/>
      <c r="C42" s="215"/>
      <c r="D42" s="215"/>
      <c r="E42" s="215"/>
    </row>
    <row r="43" spans="1:6" s="196" customFormat="1" ht="16.5" customHeight="1" thickBot="1" x14ac:dyDescent="0.25">
      <c r="A43" s="1196" t="s">
        <v>130</v>
      </c>
      <c r="B43" s="1197"/>
      <c r="C43" s="1197"/>
      <c r="D43" s="1197"/>
      <c r="E43" s="1198"/>
    </row>
    <row r="44" spans="1:6" s="218" customFormat="1" ht="12" customHeight="1" thickBot="1" x14ac:dyDescent="0.25">
      <c r="A44" s="252" t="s">
        <v>228</v>
      </c>
      <c r="B44" s="81" t="s">
        <v>716</v>
      </c>
      <c r="C44" s="124">
        <f>'7.1. sz. mell'!C44+' 7.2.sz.mell.'!C44+'7.3. sz. mell.'!C44+'7.4. sz. mell.'!C44+'7.5. sz. mell.'!C44+'7.6. sz. mell. '!C44</f>
        <v>1735583737</v>
      </c>
      <c r="D44" s="124">
        <f>'7.1. sz. mell'!D44+' 7.2.sz.mell.'!D44+'7.3. sz. mell.'!D44+'7.4. sz. mell.'!D44+'7.5. sz. mell.'!D44+'7.6. sz. mell. '!D44</f>
        <v>1690113679</v>
      </c>
      <c r="E44" s="124">
        <f>'7.1. sz. mell'!E44+' 7.2.sz.mell.'!E44+'7.3. sz. mell.'!E44+'7.4. sz. mell.'!E44+'7.5. sz. mell.'!E44+'7.6. sz. mell. '!E44</f>
        <v>1652866585</v>
      </c>
    </row>
    <row r="45" spans="1:6" ht="12" customHeight="1" thickBot="1" x14ac:dyDescent="0.25">
      <c r="A45" s="248" t="s">
        <v>330</v>
      </c>
      <c r="B45" s="11" t="s">
        <v>331</v>
      </c>
      <c r="C45" s="124">
        <f>'7.1. sz. mell'!C45+' 7.2.sz.mell.'!C45+'7.3. sz. mell.'!C45+'7.4. sz. mell.'!C45+'7.5. sz. mell.'!C45+'7.6. sz. mell. '!C45</f>
        <v>924370943</v>
      </c>
      <c r="D45" s="124">
        <f>'7.1. sz. mell'!D45+' 7.2.sz.mell.'!D45+'7.3. sz. mell.'!D45+'7.4. sz. mell.'!D45+'7.5. sz. mell.'!D45+'7.6. sz. mell. '!D45</f>
        <v>921211659</v>
      </c>
      <c r="E45" s="124">
        <f>'7.1. sz. mell'!E45+' 7.2.sz.mell.'!E45+'7.3. sz. mell.'!E45+'7.4. sz. mell.'!E45+'7.5. sz. mell.'!E45+'7.6. sz. mell. '!E45</f>
        <v>910425020</v>
      </c>
    </row>
    <row r="46" spans="1:6" ht="12" customHeight="1" thickBot="1" x14ac:dyDescent="0.25">
      <c r="A46" s="248" t="s">
        <v>332</v>
      </c>
      <c r="B46" s="9" t="s">
        <v>438</v>
      </c>
      <c r="C46" s="124">
        <f>'7.1. sz. mell'!C46+' 7.2.sz.mell.'!C46+'7.3. sz. mell.'!C46+'7.4. sz. mell.'!C46+'7.5. sz. mell.'!C46+'7.6. sz. mell. '!C46</f>
        <v>195623929</v>
      </c>
      <c r="D46" s="124">
        <f>'7.1. sz. mell'!D46+' 7.2.sz.mell.'!D46+'7.3. sz. mell.'!D46+'7.4. sz. mell.'!D46+'7.5. sz. mell.'!D46+'7.6. sz. mell. '!D46</f>
        <v>194970702</v>
      </c>
      <c r="E46" s="124">
        <f>'7.1. sz. mell'!E46+' 7.2.sz.mell.'!E46+'7.3. sz. mell.'!E46+'7.4. sz. mell.'!E46+'7.5. sz. mell.'!E46+'7.6. sz. mell. '!E46</f>
        <v>189659903</v>
      </c>
    </row>
    <row r="47" spans="1:6" ht="12" customHeight="1" thickBot="1" x14ac:dyDescent="0.25">
      <c r="A47" s="248" t="s">
        <v>333</v>
      </c>
      <c r="B47" s="9" t="s">
        <v>334</v>
      </c>
      <c r="C47" s="124">
        <f>'7.1. sz. mell'!C47+' 7.2.sz.mell.'!C47+'7.3. sz. mell.'!C47+'7.4. sz. mell.'!C47+'7.5. sz. mell.'!C47+'7.6. sz. mell. '!C47</f>
        <v>591338865</v>
      </c>
      <c r="D47" s="124">
        <f>'7.1. sz. mell'!D47+' 7.2.sz.mell.'!D47+'7.3. sz. mell.'!D47+'7.4. sz. mell.'!D47+'7.5. sz. mell.'!D47+'7.6. sz. mell. '!D47</f>
        <v>573644818</v>
      </c>
      <c r="E47" s="124">
        <f>'7.1. sz. mell'!E47+' 7.2.sz.mell.'!E47+'7.3. sz. mell.'!E47+'7.4. sz. mell.'!E47+'7.5. sz. mell.'!E47+'7.6. sz. mell. '!E47</f>
        <v>552695162</v>
      </c>
    </row>
    <row r="48" spans="1:6" ht="12" customHeight="1" thickBot="1" x14ac:dyDescent="0.25">
      <c r="A48" s="248" t="s">
        <v>335</v>
      </c>
      <c r="B48" s="9" t="s">
        <v>439</v>
      </c>
      <c r="C48" s="124">
        <f>'7.1. sz. mell'!C48+' 7.2.sz.mell.'!C48+'7.3. sz. mell.'!C48+'7.4. sz. mell.'!C48+'7.5. sz. mell.'!C48+'7.6. sz. mell. '!C48</f>
        <v>24250000</v>
      </c>
      <c r="D48" s="124">
        <f>'7.1. sz. mell'!D48+' 7.2.sz.mell.'!D48+'7.3. sz. mell.'!D48+'7.4. sz. mell.'!D48+'7.5. sz. mell.'!D48+'7.6. sz. mell. '!D48</f>
        <v>200000</v>
      </c>
      <c r="E48" s="124">
        <f>'7.1. sz. mell'!E48+' 7.2.sz.mell.'!E48+'7.3. sz. mell.'!E48+'7.4. sz. mell.'!E48+'7.5. sz. mell.'!E48+'7.6. sz. mell. '!E48</f>
        <v>0</v>
      </c>
    </row>
    <row r="49" spans="1:5" ht="12" customHeight="1" thickBot="1" x14ac:dyDescent="0.25">
      <c r="A49" s="248" t="s">
        <v>457</v>
      </c>
      <c r="B49" s="9" t="s">
        <v>440</v>
      </c>
      <c r="C49" s="124">
        <f>'7.1. sz. mell'!C49+' 7.2.sz.mell.'!C49+'7.3. sz. mell.'!C49+'7.4. sz. mell.'!C49+'7.5. sz. mell.'!C49+'7.6. sz. mell. '!C49</f>
        <v>0</v>
      </c>
      <c r="D49" s="124">
        <f>'7.1. sz. mell'!D49+' 7.2.sz.mell.'!D49+'7.3. sz. mell.'!D49+'7.4. sz. mell.'!D49+'7.5. sz. mell.'!D49+'7.6. sz. mell. '!D49</f>
        <v>86500</v>
      </c>
      <c r="E49" s="124">
        <f>'7.1. sz. mell'!E49+' 7.2.sz.mell.'!E49+'7.3. sz. mell.'!E49+'7.4. sz. mell.'!E49+'7.5. sz. mell.'!E49+'7.6. sz. mell. '!E49</f>
        <v>86500</v>
      </c>
    </row>
    <row r="50" spans="1:5" ht="12" customHeight="1" thickBot="1" x14ac:dyDescent="0.25">
      <c r="A50" s="252" t="s">
        <v>234</v>
      </c>
      <c r="B50" s="81" t="s">
        <v>717</v>
      </c>
      <c r="C50" s="124">
        <f>'7.1. sz. mell'!C50+' 7.2.sz.mell.'!C50+'7.3. sz. mell.'!C50+'7.4. sz. mell.'!C50+'7.5. sz. mell.'!C50+'7.6. sz. mell. '!C50</f>
        <v>25924092</v>
      </c>
      <c r="D50" s="124">
        <f>'7.1. sz. mell'!D50+' 7.2.sz.mell.'!D50+'7.3. sz. mell.'!D50+'7.4. sz. mell.'!D50+'7.5. sz. mell.'!D50+'7.6. sz. mell. '!D50</f>
        <v>28837348</v>
      </c>
      <c r="E50" s="124">
        <f>'7.1. sz. mell'!E50+' 7.2.sz.mell.'!E50+'7.3. sz. mell.'!E50+'7.4. sz. mell.'!E50+'7.5. sz. mell.'!E50+'7.6. sz. mell. '!E50</f>
        <v>24122444</v>
      </c>
    </row>
    <row r="51" spans="1:5" s="218" customFormat="1" ht="12" customHeight="1" thickBot="1" x14ac:dyDescent="0.25">
      <c r="A51" s="248" t="s">
        <v>344</v>
      </c>
      <c r="B51" s="11" t="s">
        <v>142</v>
      </c>
      <c r="C51" s="124">
        <f>'7.1. sz. mell'!C51+' 7.2.sz.mell.'!C51+'7.3. sz. mell.'!C51+'7.4. sz. mell.'!C51+'7.5. sz. mell.'!C51+'7.6. sz. mell. '!C51</f>
        <v>25314492</v>
      </c>
      <c r="D51" s="124">
        <f>'7.1. sz. mell'!D51+' 7.2.sz.mell.'!D51+'7.3. sz. mell.'!D51+'7.4. sz. mell.'!D51+'7.5. sz. mell.'!D51+'7.6. sz. mell. '!D51</f>
        <v>28582348</v>
      </c>
      <c r="E51" s="124">
        <f>'7.1. sz. mell'!E51+' 7.2.sz.mell.'!E51+'7.3. sz. mell.'!E51+'7.4. sz. mell.'!E51+'7.5. sz. mell.'!E51+'7.6. sz. mell. '!E51</f>
        <v>23867445</v>
      </c>
    </row>
    <row r="52" spans="1:5" ht="12" customHeight="1" thickBot="1" x14ac:dyDescent="0.25">
      <c r="A52" s="248" t="s">
        <v>345</v>
      </c>
      <c r="B52" s="9" t="s">
        <v>225</v>
      </c>
      <c r="C52" s="124">
        <f>'7.1. sz. mell'!C52+' 7.2.sz.mell.'!C52+'7.3. sz. mell.'!C52+'7.4. sz. mell.'!C52+'7.5. sz. mell.'!C52+'7.6. sz. mell. '!C52</f>
        <v>609600</v>
      </c>
      <c r="D52" s="124">
        <f>'7.1. sz. mell'!D52+' 7.2.sz.mell.'!D52+'7.3. sz. mell.'!D52+'7.4. sz. mell.'!D52+'7.5. sz. mell.'!D52+'7.6. sz. mell. '!D52</f>
        <v>255000</v>
      </c>
      <c r="E52" s="124">
        <f>'7.1. sz. mell'!E52+' 7.2.sz.mell.'!E52+'7.3. sz. mell.'!E52+'7.4. sz. mell.'!E52+'7.5. sz. mell.'!E52+'7.6. sz. mell. '!E52</f>
        <v>254999</v>
      </c>
    </row>
    <row r="53" spans="1:5" ht="12" customHeight="1" thickBot="1" x14ac:dyDescent="0.25">
      <c r="A53" s="248" t="s">
        <v>346</v>
      </c>
      <c r="B53" s="9" t="s">
        <v>718</v>
      </c>
      <c r="C53" s="124">
        <f>'7.1. sz. mell'!C53+' 7.2.sz.mell.'!C53+'7.3. sz. mell.'!C53+'7.4. sz. mell.'!C53+'7.5. sz. mell.'!C53+'7.6. sz. mell. '!C53</f>
        <v>0</v>
      </c>
      <c r="D53" s="124">
        <f>'7.1. sz. mell'!D53+' 7.2.sz.mell.'!D53+'7.3. sz. mell.'!D53+'7.4. sz. mell.'!D53+'7.5. sz. mell.'!D53+'7.6. sz. mell. '!D53</f>
        <v>0</v>
      </c>
      <c r="E53" s="124">
        <f>'7.1. sz. mell'!E53+' 7.2.sz.mell.'!E53+'7.3. sz. mell.'!E53+'7.4. sz. mell.'!E53+'7.5. sz. mell.'!E53+'7.6. sz. mell. '!E53</f>
        <v>0</v>
      </c>
    </row>
    <row r="54" spans="1:5" ht="23.25" thickBot="1" x14ac:dyDescent="0.25">
      <c r="A54" s="248" t="s">
        <v>347</v>
      </c>
      <c r="B54" s="9" t="s">
        <v>719</v>
      </c>
      <c r="C54" s="124">
        <f>'7.1. sz. mell'!C54+' 7.2.sz.mell.'!C54+'7.3. sz. mell.'!C54+'7.4. sz. mell.'!C54+'7.5. sz. mell.'!C54+'7.6. sz. mell. '!C54</f>
        <v>0</v>
      </c>
      <c r="D54" s="124">
        <f>'7.1. sz. mell'!D54+' 7.2.sz.mell.'!D54+'7.3. sz. mell.'!D54+'7.4. sz. mell.'!D54+'7.5. sz. mell.'!D54+'7.6. sz. mell. '!D54</f>
        <v>0</v>
      </c>
      <c r="E54" s="124">
        <f>'7.1. sz. mell'!E54+' 7.2.sz.mell.'!E54+'7.3. sz. mell.'!E54+'7.4. sz. mell.'!E54+'7.5. sz. mell.'!E54+'7.6. sz. mell. '!E54</f>
        <v>0</v>
      </c>
    </row>
    <row r="55" spans="1:5" ht="12" customHeight="1" thickBot="1" x14ac:dyDescent="0.25">
      <c r="A55" s="252" t="s">
        <v>235</v>
      </c>
      <c r="B55" s="268" t="s">
        <v>720</v>
      </c>
      <c r="C55" s="124">
        <f>'7.1. sz. mell'!C55+' 7.2.sz.mell.'!C55+'7.3. sz. mell.'!C55+'7.4. sz. mell.'!C55+'7.5. sz. mell.'!C55+'7.6. sz. mell. '!C55</f>
        <v>1761507829</v>
      </c>
      <c r="D55" s="124">
        <f>'7.1. sz. mell'!D55+' 7.2.sz.mell.'!D55+'7.3. sz. mell.'!D55+'7.4. sz. mell.'!D55+'7.5. sz. mell.'!D55+'7.6. sz. mell. '!D55</f>
        <v>1718951027</v>
      </c>
      <c r="E55" s="124">
        <f>'7.1. sz. mell'!E55+' 7.2.sz.mell.'!E55+'7.3. sz. mell.'!E55+'7.4. sz. mell.'!E55+'7.5. sz. mell.'!E55+'7.6. sz. mell. '!E55</f>
        <v>1676989029</v>
      </c>
    </row>
    <row r="56" spans="1:5" ht="13.5" thickBot="1" x14ac:dyDescent="0.25">
      <c r="C56" s="270"/>
      <c r="D56" s="270"/>
      <c r="E56" s="270"/>
    </row>
    <row r="57" spans="1:5" ht="15" customHeight="1" thickBot="1" x14ac:dyDescent="0.25">
      <c r="A57" s="235" t="s">
        <v>886</v>
      </c>
      <c r="B57" s="236"/>
      <c r="C57" s="237">
        <v>44</v>
      </c>
      <c r="D57" s="237">
        <v>46</v>
      </c>
      <c r="E57" s="271">
        <v>44</v>
      </c>
    </row>
    <row r="58" spans="1:5" ht="14.25" customHeight="1" thickBot="1" x14ac:dyDescent="0.25">
      <c r="A58" s="235" t="s">
        <v>693</v>
      </c>
      <c r="B58" s="236"/>
      <c r="C58" s="237">
        <v>0</v>
      </c>
      <c r="D58" s="237">
        <v>0</v>
      </c>
      <c r="E58" s="271">
        <v>0</v>
      </c>
    </row>
  </sheetData>
  <mergeCells count="4">
    <mergeCell ref="B2:D2"/>
    <mergeCell ref="B3:D3"/>
    <mergeCell ref="A7:E7"/>
    <mergeCell ref="A43:E43"/>
  </mergeCells>
  <pageMargins left="0.7" right="0.7" top="0.75" bottom="0.75" header="0.3" footer="0.3"/>
  <pageSetup paperSize="9" scale="8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F58"/>
  <sheetViews>
    <sheetView topLeftCell="A25" zoomScaleNormal="100" zoomScaleSheetLayoutView="115" workbookViewId="0">
      <selection activeCell="E39" sqref="E39"/>
    </sheetView>
  </sheetViews>
  <sheetFormatPr defaultColWidth="8" defaultRowHeight="12.75" x14ac:dyDescent="0.2"/>
  <cols>
    <col min="1" max="1" width="13.7109375" style="269" customWidth="1"/>
    <col min="2" max="2" width="50.85546875" style="191" customWidth="1"/>
    <col min="3" max="5" width="13.5703125" style="191" customWidth="1"/>
    <col min="6" max="6" width="12.7109375" style="191" bestFit="1" customWidth="1"/>
    <col min="7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831</v>
      </c>
    </row>
    <row r="2" spans="1:5" s="183" customFormat="1" ht="39" customHeight="1" x14ac:dyDescent="0.2">
      <c r="A2" s="181" t="s">
        <v>694</v>
      </c>
      <c r="B2" s="1199" t="s">
        <v>217</v>
      </c>
      <c r="C2" s="1200"/>
      <c r="D2" s="1201"/>
      <c r="E2" s="241" t="s">
        <v>695</v>
      </c>
    </row>
    <row r="3" spans="1:5" s="183" customFormat="1" ht="24.75" thickBot="1" x14ac:dyDescent="0.25">
      <c r="A3" s="184" t="s">
        <v>696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24" t="s">
        <v>681</v>
      </c>
      <c r="B5" s="23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8419440</v>
      </c>
      <c r="D8" s="124">
        <f>SUM(D9:D18)</f>
        <v>6632763</v>
      </c>
      <c r="E8" s="244">
        <f>SUM(E9:E18)</f>
        <v>6779598</v>
      </c>
    </row>
    <row r="9" spans="1:5" s="198" customFormat="1" ht="12" customHeight="1" x14ac:dyDescent="0.2">
      <c r="A9" s="245" t="s">
        <v>330</v>
      </c>
      <c r="B9" s="14" t="s">
        <v>485</v>
      </c>
      <c r="C9" s="246"/>
      <c r="D9" s="246"/>
      <c r="E9" s="247"/>
    </row>
    <row r="10" spans="1:5" s="198" customFormat="1" ht="12" customHeight="1" x14ac:dyDescent="0.2">
      <c r="A10" s="248" t="s">
        <v>332</v>
      </c>
      <c r="B10" s="9" t="s">
        <v>496</v>
      </c>
      <c r="C10" s="114">
        <v>6228440</v>
      </c>
      <c r="D10" s="114">
        <v>3728440</v>
      </c>
      <c r="E10" s="140">
        <v>4144181</v>
      </c>
    </row>
    <row r="11" spans="1:5" s="198" customFormat="1" ht="12" customHeight="1" x14ac:dyDescent="0.2">
      <c r="A11" s="248" t="s">
        <v>333</v>
      </c>
      <c r="B11" s="9" t="s">
        <v>497</v>
      </c>
      <c r="C11" s="114">
        <v>300000</v>
      </c>
      <c r="D11" s="114">
        <v>467055</v>
      </c>
      <c r="E11" s="140">
        <v>286026</v>
      </c>
    </row>
    <row r="12" spans="1:5" s="198" customFormat="1" ht="12" customHeight="1" x14ac:dyDescent="0.2">
      <c r="A12" s="248" t="s">
        <v>335</v>
      </c>
      <c r="B12" s="9" t="s">
        <v>498</v>
      </c>
      <c r="C12" s="114"/>
      <c r="D12" s="114"/>
      <c r="E12" s="140"/>
    </row>
    <row r="13" spans="1:5" s="198" customFormat="1" ht="12" customHeight="1" x14ac:dyDescent="0.2">
      <c r="A13" s="248" t="s">
        <v>457</v>
      </c>
      <c r="B13" s="9" t="s">
        <v>499</v>
      </c>
      <c r="C13" s="114"/>
      <c r="D13" s="114"/>
      <c r="E13" s="140"/>
    </row>
    <row r="14" spans="1:5" s="198" customFormat="1" ht="12" customHeight="1" x14ac:dyDescent="0.2">
      <c r="A14" s="248" t="s">
        <v>337</v>
      </c>
      <c r="B14" s="9" t="s">
        <v>698</v>
      </c>
      <c r="C14" s="114">
        <v>1791000</v>
      </c>
      <c r="D14" s="114">
        <v>1836104</v>
      </c>
      <c r="E14" s="140">
        <v>1200028</v>
      </c>
    </row>
    <row r="15" spans="1:5" s="200" customFormat="1" ht="12" customHeight="1" x14ac:dyDescent="0.2">
      <c r="A15" s="248" t="s">
        <v>338</v>
      </c>
      <c r="B15" s="7" t="s">
        <v>699</v>
      </c>
      <c r="C15" s="114"/>
      <c r="D15" s="114"/>
      <c r="E15" s="140"/>
    </row>
    <row r="16" spans="1:5" s="200" customFormat="1" ht="12" customHeight="1" x14ac:dyDescent="0.2">
      <c r="A16" s="248" t="s">
        <v>339</v>
      </c>
      <c r="B16" s="9" t="s">
        <v>502</v>
      </c>
      <c r="C16" s="249"/>
      <c r="D16" s="249"/>
      <c r="E16" s="250"/>
    </row>
    <row r="17" spans="1:5" s="198" customFormat="1" ht="12" customHeight="1" x14ac:dyDescent="0.2">
      <c r="A17" s="248" t="s">
        <v>340</v>
      </c>
      <c r="B17" s="9" t="s">
        <v>504</v>
      </c>
      <c r="C17" s="114"/>
      <c r="D17" s="114"/>
      <c r="E17" s="140">
        <v>1</v>
      </c>
    </row>
    <row r="18" spans="1:5" s="200" customFormat="1" ht="12" customHeight="1" thickBot="1" x14ac:dyDescent="0.25">
      <c r="A18" s="248" t="s">
        <v>341</v>
      </c>
      <c r="B18" s="7" t="s">
        <v>506</v>
      </c>
      <c r="C18" s="121">
        <v>100000</v>
      </c>
      <c r="D18" s="121">
        <v>601164</v>
      </c>
      <c r="E18" s="251">
        <v>1149362</v>
      </c>
    </row>
    <row r="19" spans="1:5" s="200" customFormat="1" ht="21.75" thickBot="1" x14ac:dyDescent="0.25">
      <c r="A19" s="192" t="s">
        <v>234</v>
      </c>
      <c r="B19" s="243" t="s">
        <v>700</v>
      </c>
      <c r="C19" s="124">
        <f>SUM(C20:C22)</f>
        <v>3096237</v>
      </c>
      <c r="D19" s="124">
        <f>SUM(D20:D22)</f>
        <v>5904560</v>
      </c>
      <c r="E19" s="244">
        <f>SUM(E20:E22)</f>
        <v>5904560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11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11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>
        <v>3096237</v>
      </c>
      <c r="D22" s="114">
        <v>5904560</v>
      </c>
      <c r="E22" s="140">
        <v>5904560</v>
      </c>
    </row>
    <row r="23" spans="1:5" s="200" customFormat="1" ht="12" customHeight="1" thickBot="1" x14ac:dyDescent="0.25">
      <c r="A23" s="248" t="s">
        <v>347</v>
      </c>
      <c r="B23" s="9" t="s">
        <v>703</v>
      </c>
      <c r="C23" s="114"/>
      <c r="D23" s="114"/>
      <c r="E23" s="140"/>
    </row>
    <row r="24" spans="1:5" s="200" customFormat="1" ht="12" customHeight="1" thickBot="1" x14ac:dyDescent="0.25">
      <c r="A24" s="252" t="s">
        <v>235</v>
      </c>
      <c r="B24" s="81" t="s">
        <v>303</v>
      </c>
      <c r="C24" s="253"/>
      <c r="D24" s="253"/>
      <c r="E24" s="254"/>
    </row>
    <row r="25" spans="1:5" s="200" customFormat="1" ht="21.75" thickBot="1" x14ac:dyDescent="0.25">
      <c r="A25" s="252" t="s">
        <v>236</v>
      </c>
      <c r="B25" s="81" t="s">
        <v>704</v>
      </c>
      <c r="C25" s="124">
        <f>SUM(C26:C27)</f>
        <v>0</v>
      </c>
      <c r="D25" s="124">
        <f>SUM(D26:D27)</f>
        <v>0</v>
      </c>
      <c r="E25" s="244">
        <f>SUM(E26:E27)</f>
        <v>0</v>
      </c>
    </row>
    <row r="26" spans="1:5" s="200" customFormat="1" ht="12" customHeight="1" x14ac:dyDescent="0.2">
      <c r="A26" s="255" t="s">
        <v>317</v>
      </c>
      <c r="B26" s="256" t="s">
        <v>701</v>
      </c>
      <c r="C26" s="144"/>
      <c r="D26" s="144"/>
      <c r="E26" s="257"/>
    </row>
    <row r="27" spans="1:5" s="200" customFormat="1" ht="12" customHeight="1" x14ac:dyDescent="0.2">
      <c r="A27" s="255" t="s">
        <v>318</v>
      </c>
      <c r="B27" s="258" t="s">
        <v>705</v>
      </c>
      <c r="C27" s="127"/>
      <c r="D27" s="127"/>
      <c r="E27" s="259"/>
    </row>
    <row r="28" spans="1:5" s="200" customFormat="1" ht="12" customHeight="1" thickBot="1" x14ac:dyDescent="0.25">
      <c r="A28" s="248" t="s">
        <v>481</v>
      </c>
      <c r="B28" s="260" t="s">
        <v>706</v>
      </c>
      <c r="C28" s="261"/>
      <c r="D28" s="261"/>
      <c r="E28" s="262"/>
    </row>
    <row r="29" spans="1:5" s="200" customFormat="1" ht="12" customHeight="1" thickBot="1" x14ac:dyDescent="0.25">
      <c r="A29" s="252" t="s">
        <v>237</v>
      </c>
      <c r="B29" s="81" t="s">
        <v>707</v>
      </c>
      <c r="C29" s="124">
        <f>SUM(C30:C32)</f>
        <v>0</v>
      </c>
      <c r="D29" s="124">
        <f>SUM(D30:D32)</f>
        <v>0</v>
      </c>
      <c r="E29" s="244">
        <f>SUM(E30:E32)</f>
        <v>18854</v>
      </c>
    </row>
    <row r="30" spans="1:5" s="200" customFormat="1" ht="12" customHeight="1" x14ac:dyDescent="0.2">
      <c r="A30" s="255" t="s">
        <v>319</v>
      </c>
      <c r="B30" s="256" t="s">
        <v>508</v>
      </c>
      <c r="C30" s="144"/>
      <c r="D30" s="144"/>
      <c r="E30" s="257"/>
    </row>
    <row r="31" spans="1:5" s="200" customFormat="1" ht="12" customHeight="1" x14ac:dyDescent="0.2">
      <c r="A31" s="255" t="s">
        <v>320</v>
      </c>
      <c r="B31" s="258" t="s">
        <v>199</v>
      </c>
      <c r="C31" s="127"/>
      <c r="D31" s="127"/>
      <c r="E31" s="259"/>
    </row>
    <row r="32" spans="1:5" s="200" customFormat="1" ht="12" customHeight="1" thickBot="1" x14ac:dyDescent="0.25">
      <c r="A32" s="248" t="s">
        <v>321</v>
      </c>
      <c r="B32" s="263" t="s">
        <v>510</v>
      </c>
      <c r="C32" s="261"/>
      <c r="D32" s="261"/>
      <c r="E32" s="262">
        <v>18854</v>
      </c>
    </row>
    <row r="33" spans="1:6" s="200" customFormat="1" ht="12" customHeight="1" thickBot="1" x14ac:dyDescent="0.25">
      <c r="A33" s="252" t="s">
        <v>240</v>
      </c>
      <c r="B33" s="81" t="s">
        <v>641</v>
      </c>
      <c r="C33" s="253"/>
      <c r="D33" s="253"/>
      <c r="E33" s="254">
        <v>61115</v>
      </c>
    </row>
    <row r="34" spans="1:6" s="198" customFormat="1" ht="12" customHeight="1" thickBot="1" x14ac:dyDescent="0.25">
      <c r="A34" s="252" t="s">
        <v>241</v>
      </c>
      <c r="B34" s="81" t="s">
        <v>708</v>
      </c>
      <c r="C34" s="253"/>
      <c r="D34" s="253"/>
      <c r="E34" s="254"/>
    </row>
    <row r="35" spans="1:6" s="198" customFormat="1" ht="12" customHeight="1" thickBot="1" x14ac:dyDescent="0.25">
      <c r="A35" s="192" t="s">
        <v>242</v>
      </c>
      <c r="B35" s="81" t="s">
        <v>709</v>
      </c>
      <c r="C35" s="124">
        <f>+C8+C19+C24+C25+C29+C33+C34</f>
        <v>11515677</v>
      </c>
      <c r="D35" s="124">
        <f>+D8+D19+D24+D25+D29+D33+D34</f>
        <v>12537323</v>
      </c>
      <c r="E35" s="244">
        <f>+E8+E19+E24+E25+E29+E33+E34</f>
        <v>12764127</v>
      </c>
    </row>
    <row r="36" spans="1:6" s="198" customFormat="1" ht="12" customHeight="1" thickBot="1" x14ac:dyDescent="0.25">
      <c r="A36" s="264" t="s">
        <v>243</v>
      </c>
      <c r="B36" s="81" t="s">
        <v>710</v>
      </c>
      <c r="C36" s="124">
        <f>+C37+C38+C39</f>
        <v>232752098</v>
      </c>
      <c r="D36" s="124">
        <f>+D37+D38+D39</f>
        <v>200276321</v>
      </c>
      <c r="E36" s="244">
        <f>+E37+E38+E39</f>
        <v>191086451</v>
      </c>
    </row>
    <row r="37" spans="1:6" s="198" customFormat="1" ht="12" customHeight="1" x14ac:dyDescent="0.2">
      <c r="A37" s="255" t="s">
        <v>711</v>
      </c>
      <c r="B37" s="256" t="s">
        <v>145</v>
      </c>
      <c r="C37" s="144">
        <v>3148853</v>
      </c>
      <c r="D37" s="144">
        <v>3212174</v>
      </c>
      <c r="E37" s="257">
        <v>3212174</v>
      </c>
    </row>
    <row r="38" spans="1:6" s="200" customFormat="1" ht="12" customHeight="1" x14ac:dyDescent="0.2">
      <c r="A38" s="255" t="s">
        <v>712</v>
      </c>
      <c r="B38" s="258" t="s">
        <v>437</v>
      </c>
      <c r="C38" s="127"/>
      <c r="D38" s="127"/>
      <c r="E38" s="259"/>
    </row>
    <row r="39" spans="1:6" s="200" customFormat="1" ht="12" customHeight="1" thickBot="1" x14ac:dyDescent="0.25">
      <c r="A39" s="248" t="s">
        <v>713</v>
      </c>
      <c r="B39" s="263" t="s">
        <v>714</v>
      </c>
      <c r="C39" s="261">
        <v>229603245</v>
      </c>
      <c r="D39" s="261">
        <v>197064147</v>
      </c>
      <c r="E39" s="262">
        <v>187874277</v>
      </c>
      <c r="F39" s="1133"/>
    </row>
    <row r="40" spans="1:6" s="200" customFormat="1" ht="15" customHeight="1" thickBot="1" x14ac:dyDescent="0.25">
      <c r="A40" s="264" t="s">
        <v>244</v>
      </c>
      <c r="B40" s="265" t="s">
        <v>715</v>
      </c>
      <c r="C40" s="266">
        <f>+C35+C36</f>
        <v>244267775</v>
      </c>
      <c r="D40" s="266">
        <f>+D35+D36</f>
        <v>212813644</v>
      </c>
      <c r="E40" s="267">
        <f>+E35+E36</f>
        <v>203850578</v>
      </c>
      <c r="F40" s="1133"/>
    </row>
    <row r="41" spans="1:6" s="200" customFormat="1" ht="15" customHeight="1" x14ac:dyDescent="0.2">
      <c r="A41" s="210"/>
      <c r="B41" s="211"/>
      <c r="C41" s="212"/>
      <c r="D41" s="212"/>
      <c r="E41" s="212"/>
    </row>
    <row r="42" spans="1:6" ht="13.5" thickBot="1" x14ac:dyDescent="0.25">
      <c r="A42" s="213"/>
      <c r="B42" s="214"/>
      <c r="C42" s="215"/>
      <c r="D42" s="215"/>
      <c r="E42" s="215"/>
    </row>
    <row r="43" spans="1:6" s="196" customFormat="1" ht="16.5" customHeight="1" thickBot="1" x14ac:dyDescent="0.25">
      <c r="A43" s="1196" t="s">
        <v>130</v>
      </c>
      <c r="B43" s="1197"/>
      <c r="C43" s="1197"/>
      <c r="D43" s="1197"/>
      <c r="E43" s="1198"/>
    </row>
    <row r="44" spans="1:6" s="218" customFormat="1" ht="12" customHeight="1" thickBot="1" x14ac:dyDescent="0.25">
      <c r="A44" s="252" t="s">
        <v>228</v>
      </c>
      <c r="B44" s="81" t="s">
        <v>716</v>
      </c>
      <c r="C44" s="124">
        <f>SUM(C45:C49)</f>
        <v>239347795</v>
      </c>
      <c r="D44" s="124">
        <f>SUM(D45:D49)</f>
        <v>210528914</v>
      </c>
      <c r="E44" s="141">
        <f>SUM(E45:E49)</f>
        <v>202631627</v>
      </c>
    </row>
    <row r="45" spans="1:6" ht="12" customHeight="1" x14ac:dyDescent="0.2">
      <c r="A45" s="248" t="s">
        <v>330</v>
      </c>
      <c r="B45" s="11" t="s">
        <v>331</v>
      </c>
      <c r="C45" s="144">
        <v>139878591</v>
      </c>
      <c r="D45" s="144">
        <v>142996782</v>
      </c>
      <c r="E45" s="145">
        <v>140066359</v>
      </c>
    </row>
    <row r="46" spans="1:6" ht="12" customHeight="1" x14ac:dyDescent="0.2">
      <c r="A46" s="248" t="s">
        <v>332</v>
      </c>
      <c r="B46" s="9" t="s">
        <v>438</v>
      </c>
      <c r="C46" s="128">
        <v>29776525</v>
      </c>
      <c r="D46" s="128">
        <v>30146688</v>
      </c>
      <c r="E46" s="147">
        <v>28868164</v>
      </c>
    </row>
    <row r="47" spans="1:6" ht="12" customHeight="1" x14ac:dyDescent="0.2">
      <c r="A47" s="248" t="s">
        <v>333</v>
      </c>
      <c r="B47" s="9" t="s">
        <v>334</v>
      </c>
      <c r="C47" s="128">
        <v>45442679</v>
      </c>
      <c r="D47" s="128">
        <v>37098944</v>
      </c>
      <c r="E47" s="147">
        <v>33610604</v>
      </c>
    </row>
    <row r="48" spans="1:6" ht="12" customHeight="1" x14ac:dyDescent="0.2">
      <c r="A48" s="248" t="s">
        <v>335</v>
      </c>
      <c r="B48" s="9" t="s">
        <v>439</v>
      </c>
      <c r="C48" s="128">
        <v>24250000</v>
      </c>
      <c r="D48" s="128">
        <v>200000</v>
      </c>
      <c r="E48" s="147">
        <v>0</v>
      </c>
    </row>
    <row r="49" spans="1:5" ht="12" customHeight="1" thickBot="1" x14ac:dyDescent="0.25">
      <c r="A49" s="248" t="s">
        <v>457</v>
      </c>
      <c r="B49" s="9" t="s">
        <v>440</v>
      </c>
      <c r="C49" s="128"/>
      <c r="D49" s="128">
        <v>86500</v>
      </c>
      <c r="E49" s="147">
        <v>86500</v>
      </c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4919980</v>
      </c>
      <c r="D50" s="124">
        <f>SUM(D51:D53)</f>
        <v>2284730</v>
      </c>
      <c r="E50" s="141">
        <f>SUM(E51:E53)</f>
        <v>297205</v>
      </c>
    </row>
    <row r="51" spans="1:5" s="218" customFormat="1" ht="12" customHeight="1" x14ac:dyDescent="0.2">
      <c r="A51" s="248" t="s">
        <v>344</v>
      </c>
      <c r="B51" s="11" t="s">
        <v>142</v>
      </c>
      <c r="C51" s="144">
        <v>4919980</v>
      </c>
      <c r="D51" s="144">
        <v>2284730</v>
      </c>
      <c r="E51" s="145">
        <v>297205</v>
      </c>
    </row>
    <row r="52" spans="1:5" ht="12" customHeight="1" x14ac:dyDescent="0.2">
      <c r="A52" s="248" t="s">
        <v>345</v>
      </c>
      <c r="B52" s="9" t="s">
        <v>225</v>
      </c>
      <c r="C52" s="128"/>
      <c r="D52" s="128"/>
      <c r="E52" s="147"/>
    </row>
    <row r="53" spans="1:5" ht="12" customHeight="1" x14ac:dyDescent="0.2">
      <c r="A53" s="248" t="s">
        <v>346</v>
      </c>
      <c r="B53" s="9" t="s">
        <v>718</v>
      </c>
      <c r="C53" s="128"/>
      <c r="D53" s="128"/>
      <c r="E53" s="147"/>
    </row>
    <row r="54" spans="1:5" ht="23.25" thickBot="1" x14ac:dyDescent="0.25">
      <c r="A54" s="248" t="s">
        <v>347</v>
      </c>
      <c r="B54" s="9" t="s">
        <v>719</v>
      </c>
      <c r="C54" s="128"/>
      <c r="D54" s="128"/>
      <c r="E54" s="147"/>
    </row>
    <row r="55" spans="1:5" ht="12" customHeight="1" thickBot="1" x14ac:dyDescent="0.25">
      <c r="A55" s="252" t="s">
        <v>235</v>
      </c>
      <c r="B55" s="268" t="s">
        <v>720</v>
      </c>
      <c r="C55" s="124">
        <f>+C44+C50</f>
        <v>244267775</v>
      </c>
      <c r="D55" s="124">
        <f>+D44+D50</f>
        <v>212813644</v>
      </c>
      <c r="E55" s="141">
        <f>+E44+E50</f>
        <v>202928832</v>
      </c>
    </row>
    <row r="56" spans="1:5" ht="13.5" thickBot="1" x14ac:dyDescent="0.25">
      <c r="C56" s="270"/>
      <c r="D56" s="270"/>
      <c r="E56" s="270"/>
    </row>
    <row r="57" spans="1:5" ht="15" customHeight="1" thickBot="1" x14ac:dyDescent="0.25">
      <c r="A57" s="235" t="s">
        <v>886</v>
      </c>
      <c r="B57" s="236"/>
      <c r="C57" s="237">
        <v>44</v>
      </c>
      <c r="D57" s="237">
        <v>46</v>
      </c>
      <c r="E57" s="271">
        <v>44</v>
      </c>
    </row>
    <row r="58" spans="1:5" ht="14.25" customHeight="1" thickBot="1" x14ac:dyDescent="0.25">
      <c r="A58" s="235" t="s">
        <v>693</v>
      </c>
      <c r="B58" s="236"/>
      <c r="C58" s="237">
        <v>0</v>
      </c>
      <c r="D58" s="237">
        <v>0</v>
      </c>
      <c r="E58" s="271">
        <v>0</v>
      </c>
    </row>
  </sheetData>
  <sheetProtection formatCells="0"/>
  <mergeCells count="4">
    <mergeCell ref="A7:E7"/>
    <mergeCell ref="A43:E43"/>
    <mergeCell ref="B2:D2"/>
    <mergeCell ref="B3:D3"/>
  </mergeCells>
  <phoneticPr fontId="25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topLeftCell="A25" zoomScaleNormal="100" zoomScaleSheetLayoutView="145" workbookViewId="0">
      <selection activeCell="H42" sqref="H42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832</v>
      </c>
    </row>
    <row r="2" spans="1:5" s="183" customFormat="1" ht="25.5" customHeight="1" x14ac:dyDescent="0.2">
      <c r="A2" s="181" t="s">
        <v>694</v>
      </c>
      <c r="B2" s="1199" t="s">
        <v>226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5" t="s">
        <v>681</v>
      </c>
      <c r="B5" s="766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172674012</v>
      </c>
      <c r="D8" s="272">
        <f>SUM(D9:D18)</f>
        <v>132141987</v>
      </c>
      <c r="E8" s="244">
        <f>SUM(E9:E18)</f>
        <v>127894819</v>
      </c>
    </row>
    <row r="9" spans="1:5" s="198" customFormat="1" ht="12" customHeight="1" x14ac:dyDescent="0.2">
      <c r="A9" s="245" t="s">
        <v>330</v>
      </c>
      <c r="B9" s="14" t="s">
        <v>485</v>
      </c>
      <c r="C9" s="36">
        <v>0</v>
      </c>
      <c r="D9" s="36">
        <v>176645</v>
      </c>
      <c r="E9" s="37">
        <v>240545</v>
      </c>
    </row>
    <row r="10" spans="1:5" s="198" customFormat="1" ht="12" customHeight="1" x14ac:dyDescent="0.2">
      <c r="A10" s="248" t="s">
        <v>332</v>
      </c>
      <c r="B10" s="9" t="s">
        <v>496</v>
      </c>
      <c r="C10" s="724">
        <v>30591480</v>
      </c>
      <c r="D10" s="724">
        <v>25421080</v>
      </c>
      <c r="E10" s="40">
        <v>25509791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82270000</v>
      </c>
      <c r="D11" s="724">
        <v>55474385</v>
      </c>
      <c r="E11" s="40">
        <v>54229385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>
        <v>19857978</v>
      </c>
      <c r="D13" s="724">
        <v>17157978</v>
      </c>
      <c r="E13" s="40">
        <v>14695851</v>
      </c>
    </row>
    <row r="14" spans="1:5" s="198" customFormat="1" ht="12" customHeight="1" x14ac:dyDescent="0.2">
      <c r="A14" s="248" t="s">
        <v>337</v>
      </c>
      <c r="B14" s="9" t="s">
        <v>698</v>
      </c>
      <c r="C14" s="724">
        <v>27304554</v>
      </c>
      <c r="D14" s="724">
        <v>19498593</v>
      </c>
      <c r="E14" s="40">
        <v>18486265</v>
      </c>
    </row>
    <row r="15" spans="1:5" s="200" customFormat="1" ht="12" customHeight="1" x14ac:dyDescent="0.2">
      <c r="A15" s="248" t="s">
        <v>338</v>
      </c>
      <c r="B15" s="7" t="s">
        <v>699</v>
      </c>
      <c r="C15" s="724">
        <v>12650000</v>
      </c>
      <c r="D15" s="724">
        <v>12650000</v>
      </c>
      <c r="E15" s="40">
        <v>12968000</v>
      </c>
    </row>
    <row r="16" spans="1:5" s="200" customFormat="1" ht="12" customHeight="1" x14ac:dyDescent="0.2">
      <c r="A16" s="248" t="s">
        <v>339</v>
      </c>
      <c r="B16" s="9" t="s">
        <v>502</v>
      </c>
      <c r="C16" s="724"/>
      <c r="D16" s="724"/>
      <c r="E16" s="40">
        <v>5</v>
      </c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1763306</v>
      </c>
      <c r="E18" s="52">
        <v>1764977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0</v>
      </c>
      <c r="E19" s="244">
        <f>SUM(E20:E22)</f>
        <v>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/>
      <c r="E22" s="140"/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.75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9.5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/>
      <c r="E33" s="254"/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172674012</v>
      </c>
      <c r="D35" s="272">
        <f>+D8+D19+D24+D25+D29+D33+D34</f>
        <v>132141987</v>
      </c>
      <c r="E35" s="272">
        <f>+E8+E19+E24+E25+E29+E33+E34</f>
        <v>127894819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135013230</v>
      </c>
      <c r="D36" s="272">
        <f>+D37+D38+D39</f>
        <v>161805913</v>
      </c>
      <c r="E36" s="244">
        <f>+E37+E38+E39</f>
        <v>161757382</v>
      </c>
    </row>
    <row r="37" spans="1:5" s="200" customFormat="1" ht="15" customHeight="1" x14ac:dyDescent="0.2">
      <c r="A37" s="255" t="s">
        <v>711</v>
      </c>
      <c r="B37" s="256" t="s">
        <v>145</v>
      </c>
      <c r="C37" s="49">
        <v>1426020</v>
      </c>
      <c r="D37" s="49">
        <v>1426020</v>
      </c>
      <c r="E37" s="50">
        <v>1426020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133587210</v>
      </c>
      <c r="D39" s="280">
        <v>160379893</v>
      </c>
      <c r="E39" s="262">
        <v>160331362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307687242</v>
      </c>
      <c r="D40" s="281">
        <f>+D35+D36</f>
        <v>293947900</v>
      </c>
      <c r="E40" s="281">
        <f>+E35+E36</f>
        <v>289652201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306458242</v>
      </c>
      <c r="D44" s="124">
        <f>SUM(D45:D49)</f>
        <v>292248184</v>
      </c>
      <c r="E44" s="244">
        <f>SUM(E45:E49)</f>
        <v>286456196</v>
      </c>
    </row>
    <row r="45" spans="1:5" ht="12" customHeight="1" x14ac:dyDescent="0.2">
      <c r="A45" s="248" t="s">
        <v>330</v>
      </c>
      <c r="B45" s="11" t="s">
        <v>331</v>
      </c>
      <c r="C45" s="73">
        <v>61703726</v>
      </c>
      <c r="D45" s="73">
        <v>59422019</v>
      </c>
      <c r="E45" s="74">
        <v>59264632</v>
      </c>
    </row>
    <row r="46" spans="1:5" ht="12" customHeight="1" x14ac:dyDescent="0.2">
      <c r="A46" s="248" t="s">
        <v>332</v>
      </c>
      <c r="B46" s="9" t="s">
        <v>438</v>
      </c>
      <c r="C46" s="724">
        <v>14089304</v>
      </c>
      <c r="D46" s="724">
        <v>13726272</v>
      </c>
      <c r="E46" s="40">
        <v>13724318</v>
      </c>
    </row>
    <row r="47" spans="1:5" ht="12" customHeight="1" x14ac:dyDescent="0.2">
      <c r="A47" s="248" t="s">
        <v>333</v>
      </c>
      <c r="B47" s="9" t="s">
        <v>334</v>
      </c>
      <c r="C47" s="42">
        <v>230665212</v>
      </c>
      <c r="D47" s="42">
        <v>219099893</v>
      </c>
      <c r="E47" s="43">
        <v>213467246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5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1229000</v>
      </c>
      <c r="D50" s="124">
        <f>SUM(D51:D53)</f>
        <v>1699716</v>
      </c>
      <c r="E50" s="244">
        <f>SUM(E51:E53)</f>
        <v>1645147</v>
      </c>
    </row>
    <row r="51" spans="1:5" ht="12" customHeight="1" x14ac:dyDescent="0.2">
      <c r="A51" s="248" t="s">
        <v>344</v>
      </c>
      <c r="B51" s="11" t="s">
        <v>142</v>
      </c>
      <c r="C51" s="36">
        <v>1229000</v>
      </c>
      <c r="D51" s="36">
        <v>1699716</v>
      </c>
      <c r="E51" s="37">
        <v>1645147</v>
      </c>
    </row>
    <row r="52" spans="1:5" ht="12" customHeight="1" x14ac:dyDescent="0.2">
      <c r="A52" s="248" t="s">
        <v>345</v>
      </c>
      <c r="B52" s="9" t="s">
        <v>225</v>
      </c>
      <c r="C52" s="36"/>
      <c r="D52" s="724"/>
      <c r="E52" s="40"/>
    </row>
    <row r="53" spans="1:5" ht="15" customHeight="1" x14ac:dyDescent="0.2">
      <c r="A53" s="248" t="s">
        <v>346</v>
      </c>
      <c r="B53" s="9" t="s">
        <v>718</v>
      </c>
      <c r="C53" s="724"/>
      <c r="D53" s="724"/>
      <c r="E53" s="40"/>
    </row>
    <row r="54" spans="1:5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307687242</v>
      </c>
      <c r="D55" s="266">
        <f>+D44+D50</f>
        <v>293947900</v>
      </c>
      <c r="E55" s="267">
        <f>+E44+E50</f>
        <v>288101343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602">
        <v>25.5</v>
      </c>
      <c r="D57" s="602">
        <v>24.92</v>
      </c>
      <c r="E57" s="511">
        <v>24</v>
      </c>
    </row>
    <row r="58" spans="1:5" ht="13.5" thickBot="1" x14ac:dyDescent="0.25">
      <c r="A58" s="235" t="s">
        <v>693</v>
      </c>
      <c r="B58" s="236"/>
      <c r="C58" s="602">
        <v>0</v>
      </c>
      <c r="D58" s="602">
        <v>0</v>
      </c>
      <c r="E58" s="511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topLeftCell="A34" zoomScaleNormal="100" zoomScaleSheetLayoutView="145" workbookViewId="0">
      <selection activeCell="H42" sqref="H42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833</v>
      </c>
    </row>
    <row r="2" spans="1:5" s="183" customFormat="1" ht="25.5" customHeight="1" x14ac:dyDescent="0.2">
      <c r="A2" s="181" t="s">
        <v>694</v>
      </c>
      <c r="B2" s="1199" t="s">
        <v>304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5" t="s">
        <v>681</v>
      </c>
      <c r="B5" s="766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11615878</v>
      </c>
      <c r="D8" s="272">
        <f>SUM(D9:D18)</f>
        <v>12128962</v>
      </c>
      <c r="E8" s="244">
        <f>SUM(E9:E18)</f>
        <v>11420656</v>
      </c>
    </row>
    <row r="9" spans="1:5" s="198" customFormat="1" ht="12" customHeight="1" x14ac:dyDescent="0.2">
      <c r="A9" s="245" t="s">
        <v>330</v>
      </c>
      <c r="B9" s="14" t="s">
        <v>485</v>
      </c>
      <c r="C9" s="36"/>
      <c r="D9" s="36"/>
      <c r="E9" s="37"/>
    </row>
    <row r="10" spans="1:5" s="198" customFormat="1" ht="12" customHeight="1" x14ac:dyDescent="0.2">
      <c r="A10" s="248" t="s">
        <v>332</v>
      </c>
      <c r="B10" s="9" t="s">
        <v>496</v>
      </c>
      <c r="C10" s="724">
        <v>850000</v>
      </c>
      <c r="D10" s="724">
        <v>850000</v>
      </c>
      <c r="E10" s="40">
        <v>755449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4200000</v>
      </c>
      <c r="D11" s="724">
        <v>4200000</v>
      </c>
      <c r="E11" s="40">
        <v>4381407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>
        <v>638880</v>
      </c>
      <c r="D13" s="724">
        <v>638880</v>
      </c>
      <c r="E13" s="40">
        <v>481351</v>
      </c>
    </row>
    <row r="14" spans="1:5" s="198" customFormat="1" ht="12" customHeight="1" x14ac:dyDescent="0.2">
      <c r="A14" s="248" t="s">
        <v>337</v>
      </c>
      <c r="B14" s="9" t="s">
        <v>698</v>
      </c>
      <c r="C14" s="724">
        <v>1535998</v>
      </c>
      <c r="D14" s="724">
        <v>1535998</v>
      </c>
      <c r="E14" s="40">
        <v>1504933</v>
      </c>
    </row>
    <row r="15" spans="1:5" s="200" customFormat="1" ht="12" customHeight="1" x14ac:dyDescent="0.2">
      <c r="A15" s="248" t="s">
        <v>338</v>
      </c>
      <c r="B15" s="7" t="s">
        <v>699</v>
      </c>
      <c r="C15" s="724">
        <v>4390000</v>
      </c>
      <c r="D15" s="724">
        <v>4390000</v>
      </c>
      <c r="E15" s="40">
        <v>3781000</v>
      </c>
    </row>
    <row r="16" spans="1:5" s="200" customFormat="1" ht="12" customHeight="1" x14ac:dyDescent="0.2">
      <c r="A16" s="248" t="s">
        <v>339</v>
      </c>
      <c r="B16" s="9" t="s">
        <v>502</v>
      </c>
      <c r="C16" s="724">
        <v>1000</v>
      </c>
      <c r="D16" s="724">
        <v>1000</v>
      </c>
      <c r="E16" s="40"/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513084</v>
      </c>
      <c r="E18" s="52">
        <v>516516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0</v>
      </c>
      <c r="E19" s="244">
        <f>SUM(E20:E22)</f>
        <v>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/>
      <c r="E22" s="140"/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2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>
        <v>30000</v>
      </c>
      <c r="E33" s="254">
        <v>30000</v>
      </c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11615878</v>
      </c>
      <c r="D35" s="272">
        <f>+D8+D19+D24+D25+D29+D33+D34</f>
        <v>12158962</v>
      </c>
      <c r="E35" s="244">
        <f>+E8+E19+E24+E25+E29+E33+E34</f>
        <v>11450656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289822891</v>
      </c>
      <c r="D36" s="272">
        <f>+D37+D38+D39</f>
        <v>288637138</v>
      </c>
      <c r="E36" s="244">
        <f>+E37+E38+E39</f>
        <v>288473593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665045</v>
      </c>
      <c r="D37" s="278">
        <v>665045</v>
      </c>
      <c r="E37" s="257">
        <v>665045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289157846</v>
      </c>
      <c r="D39" s="280">
        <v>287972093</v>
      </c>
      <c r="E39" s="262">
        <v>287808548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301438769</v>
      </c>
      <c r="D40" s="281">
        <f>+D35+D36</f>
        <v>300796100</v>
      </c>
      <c r="E40" s="267">
        <f>+E35+E36</f>
        <v>299924249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298671789</v>
      </c>
      <c r="D44" s="124">
        <f>SUM(D45:D49)</f>
        <v>298443720</v>
      </c>
      <c r="E44" s="244">
        <f>SUM(E45:E49)</f>
        <v>296712381</v>
      </c>
    </row>
    <row r="45" spans="1:5" ht="12" customHeight="1" x14ac:dyDescent="0.2">
      <c r="A45" s="248" t="s">
        <v>330</v>
      </c>
      <c r="B45" s="11" t="s">
        <v>331</v>
      </c>
      <c r="C45" s="893">
        <v>187166011</v>
      </c>
      <c r="D45" s="893">
        <v>187980909</v>
      </c>
      <c r="E45" s="893">
        <v>187218561</v>
      </c>
    </row>
    <row r="46" spans="1:5" ht="12" customHeight="1" x14ac:dyDescent="0.2">
      <c r="A46" s="248" t="s">
        <v>332</v>
      </c>
      <c r="B46" s="9" t="s">
        <v>438</v>
      </c>
      <c r="C46" s="894">
        <v>40197175</v>
      </c>
      <c r="D46" s="895">
        <v>40300358</v>
      </c>
      <c r="E46" s="896">
        <v>40250800</v>
      </c>
    </row>
    <row r="47" spans="1:5" ht="12" customHeight="1" x14ac:dyDescent="0.2">
      <c r="A47" s="248" t="s">
        <v>333</v>
      </c>
      <c r="B47" s="9" t="s">
        <v>334</v>
      </c>
      <c r="C47" s="897">
        <v>71308603</v>
      </c>
      <c r="D47" s="897">
        <v>70162453</v>
      </c>
      <c r="E47" s="898">
        <v>69243020</v>
      </c>
    </row>
    <row r="48" spans="1:5" s="218" customFormat="1" ht="12" customHeight="1" x14ac:dyDescent="0.2">
      <c r="A48" s="248" t="s">
        <v>335</v>
      </c>
      <c r="B48" s="9" t="s">
        <v>439</v>
      </c>
      <c r="C48" s="897"/>
      <c r="D48" s="897"/>
      <c r="E48" s="898"/>
    </row>
    <row r="49" spans="1:5" ht="12" customHeight="1" thickBot="1" x14ac:dyDescent="0.25">
      <c r="A49" s="248" t="s">
        <v>457</v>
      </c>
      <c r="B49" s="9" t="s">
        <v>440</v>
      </c>
      <c r="C49" s="899"/>
      <c r="D49" s="899"/>
      <c r="E49" s="900"/>
    </row>
    <row r="50" spans="1:5" ht="12" customHeight="1" thickBot="1" x14ac:dyDescent="0.25">
      <c r="A50" s="252" t="s">
        <v>234</v>
      </c>
      <c r="B50" s="81" t="s">
        <v>717</v>
      </c>
      <c r="C50" s="901">
        <f>SUM(C51:C53)</f>
        <v>2766980</v>
      </c>
      <c r="D50" s="901">
        <f>SUM(D51:D53)</f>
        <v>2352380</v>
      </c>
      <c r="E50" s="902">
        <f>SUM(E51:E53)</f>
        <v>2157033</v>
      </c>
    </row>
    <row r="51" spans="1:5" ht="12" customHeight="1" x14ac:dyDescent="0.2">
      <c r="A51" s="248" t="s">
        <v>344</v>
      </c>
      <c r="B51" s="11" t="s">
        <v>142</v>
      </c>
      <c r="C51" s="903">
        <v>2157380</v>
      </c>
      <c r="D51" s="903">
        <v>2097380</v>
      </c>
      <c r="E51" s="904">
        <v>1902034</v>
      </c>
    </row>
    <row r="52" spans="1:5" ht="12" customHeight="1" x14ac:dyDescent="0.2">
      <c r="A52" s="248" t="s">
        <v>345</v>
      </c>
      <c r="B52" s="9" t="s">
        <v>225</v>
      </c>
      <c r="C52" s="899">
        <v>609600</v>
      </c>
      <c r="D52" s="899">
        <v>255000</v>
      </c>
      <c r="E52" s="900">
        <v>254999</v>
      </c>
    </row>
    <row r="53" spans="1:5" ht="15" customHeight="1" x14ac:dyDescent="0.2">
      <c r="A53" s="248" t="s">
        <v>346</v>
      </c>
      <c r="B53" s="9" t="s">
        <v>718</v>
      </c>
      <c r="C53" s="899"/>
      <c r="D53" s="899"/>
      <c r="E53" s="900"/>
    </row>
    <row r="54" spans="1:5" ht="23.25" thickBot="1" x14ac:dyDescent="0.25">
      <c r="A54" s="248" t="s">
        <v>347</v>
      </c>
      <c r="B54" s="9" t="s">
        <v>726</v>
      </c>
      <c r="C54" s="899"/>
      <c r="D54" s="899"/>
      <c r="E54" s="900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301438769</v>
      </c>
      <c r="D55" s="266">
        <f>+D44+D50</f>
        <v>300796100</v>
      </c>
      <c r="E55" s="267">
        <f>+E44+E50</f>
        <v>298869414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905">
        <v>54</v>
      </c>
      <c r="D57" s="905">
        <v>54.7</v>
      </c>
      <c r="E57" s="906">
        <v>54</v>
      </c>
    </row>
    <row r="58" spans="1:5" ht="13.5" thickBot="1" x14ac:dyDescent="0.25">
      <c r="A58" s="235" t="s">
        <v>693</v>
      </c>
      <c r="B58" s="236"/>
      <c r="C58" s="905">
        <v>0</v>
      </c>
      <c r="D58" s="905">
        <v>0</v>
      </c>
      <c r="E58" s="906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  <pageSetUpPr fitToPage="1"/>
  </sheetPr>
  <dimension ref="A1:J31"/>
  <sheetViews>
    <sheetView topLeftCell="B1" zoomScaleNormal="100" zoomScaleSheetLayoutView="85" zoomScalePageLayoutView="85" workbookViewId="0">
      <selection activeCell="C26" sqref="C26"/>
    </sheetView>
  </sheetViews>
  <sheetFormatPr defaultColWidth="8" defaultRowHeight="12.75" x14ac:dyDescent="0.2"/>
  <cols>
    <col min="1" max="1" width="5.85546875" style="94" customWidth="1"/>
    <col min="2" max="2" width="47.28515625" style="95" customWidth="1"/>
    <col min="3" max="3" width="14.5703125" style="94" bestFit="1" customWidth="1"/>
    <col min="4" max="4" width="15.5703125" style="94" bestFit="1" customWidth="1"/>
    <col min="5" max="5" width="14.5703125" style="94" bestFit="1" customWidth="1"/>
    <col min="6" max="6" width="47.28515625" style="94" customWidth="1"/>
    <col min="7" max="7" width="14.5703125" style="94" bestFit="1" customWidth="1"/>
    <col min="8" max="8" width="15.5703125" style="94" bestFit="1" customWidth="1"/>
    <col min="9" max="9" width="14.5703125" style="94" bestFit="1" customWidth="1"/>
    <col min="10" max="10" width="4.140625" style="94" customWidth="1"/>
    <col min="11" max="16384" width="8" style="94"/>
  </cols>
  <sheetData>
    <row r="1" spans="1:10" s="599" customFormat="1" ht="39.75" customHeight="1" x14ac:dyDescent="0.2">
      <c r="B1" s="603" t="s">
        <v>128</v>
      </c>
      <c r="C1" s="604"/>
      <c r="D1" s="604"/>
      <c r="E1" s="604"/>
      <c r="F1" s="604"/>
      <c r="G1" s="604"/>
      <c r="H1" s="604"/>
      <c r="I1" s="604"/>
      <c r="J1" s="1158" t="s">
        <v>819</v>
      </c>
    </row>
    <row r="2" spans="1:10" ht="14.25" thickBot="1" x14ac:dyDescent="0.25">
      <c r="G2" s="96"/>
      <c r="H2" s="96"/>
      <c r="I2" s="96" t="s">
        <v>489</v>
      </c>
      <c r="J2" s="1158"/>
    </row>
    <row r="3" spans="1:10" ht="18" customHeight="1" thickBot="1" x14ac:dyDescent="0.25">
      <c r="A3" s="1156" t="s">
        <v>394</v>
      </c>
      <c r="B3" s="97" t="s">
        <v>129</v>
      </c>
      <c r="C3" s="98"/>
      <c r="D3" s="98"/>
      <c r="E3" s="98"/>
      <c r="F3" s="97" t="s">
        <v>130</v>
      </c>
      <c r="G3" s="99"/>
      <c r="H3" s="99"/>
      <c r="I3" s="99"/>
      <c r="J3" s="1158"/>
    </row>
    <row r="4" spans="1:10" s="104" customFormat="1" ht="35.25" customHeight="1" thickBot="1" x14ac:dyDescent="0.25">
      <c r="A4" s="1157"/>
      <c r="B4" s="100" t="s">
        <v>220</v>
      </c>
      <c r="C4" s="101" t="s">
        <v>794</v>
      </c>
      <c r="D4" s="102" t="s">
        <v>795</v>
      </c>
      <c r="E4" s="101" t="s">
        <v>796</v>
      </c>
      <c r="F4" s="100" t="s">
        <v>220</v>
      </c>
      <c r="G4" s="101" t="str">
        <f>+C4</f>
        <v>2018. évi eredeti előirányzat</v>
      </c>
      <c r="H4" s="102" t="str">
        <f>+D4</f>
        <v>2018.évi módosított előirányzat</v>
      </c>
      <c r="I4" s="103" t="str">
        <f>+E4</f>
        <v>2018. évi teljesítés</v>
      </c>
      <c r="J4" s="1158"/>
    </row>
    <row r="5" spans="1:10" s="109" customFormat="1" ht="12" customHeight="1" thickBot="1" x14ac:dyDescent="0.25">
      <c r="A5" s="105" t="s">
        <v>446</v>
      </c>
      <c r="B5" s="106" t="s">
        <v>447</v>
      </c>
      <c r="C5" s="107" t="s">
        <v>448</v>
      </c>
      <c r="D5" s="107" t="s">
        <v>449</v>
      </c>
      <c r="E5" s="107" t="s">
        <v>450</v>
      </c>
      <c r="F5" s="106" t="s">
        <v>635</v>
      </c>
      <c r="G5" s="107" t="s">
        <v>636</v>
      </c>
      <c r="H5" s="107" t="s">
        <v>637</v>
      </c>
      <c r="I5" s="108" t="s">
        <v>638</v>
      </c>
      <c r="J5" s="1158"/>
    </row>
    <row r="6" spans="1:10" ht="15" customHeight="1" x14ac:dyDescent="0.2">
      <c r="A6" s="110" t="s">
        <v>228</v>
      </c>
      <c r="B6" s="111" t="s">
        <v>639</v>
      </c>
      <c r="C6" s="632">
        <f>'1.sz.mell.'!C6</f>
        <v>1317581468</v>
      </c>
      <c r="D6" s="632">
        <f>'1.sz.mell.'!D6</f>
        <v>1170233686</v>
      </c>
      <c r="E6" s="632">
        <f>'1.sz.mell.'!E6</f>
        <v>1170233686</v>
      </c>
      <c r="F6" s="716" t="s">
        <v>239</v>
      </c>
      <c r="G6" s="718">
        <f>'1.sz.mell.'!C95</f>
        <v>972189321</v>
      </c>
      <c r="H6" s="718">
        <f>'1.sz.mell.'!D95</f>
        <v>973950639</v>
      </c>
      <c r="I6" s="713">
        <f>'1.sz.mell.'!E95</f>
        <v>954601761</v>
      </c>
      <c r="J6" s="1158"/>
    </row>
    <row r="7" spans="1:10" ht="15" customHeight="1" x14ac:dyDescent="0.2">
      <c r="A7" s="112" t="s">
        <v>234</v>
      </c>
      <c r="B7" s="113" t="s">
        <v>640</v>
      </c>
      <c r="C7" s="633">
        <f>'1.sz.mell.'!C13</f>
        <v>180965882</v>
      </c>
      <c r="D7" s="633">
        <f>'1.sz.mell.'!D13</f>
        <v>279095571</v>
      </c>
      <c r="E7" s="633">
        <f>'1.sz.mell.'!E13</f>
        <v>215496398</v>
      </c>
      <c r="F7" s="113" t="s">
        <v>438</v>
      </c>
      <c r="G7" s="709">
        <f>'1.sz.mell.'!C96</f>
        <v>205103347</v>
      </c>
      <c r="H7" s="709">
        <f>'1.sz.mell.'!D96</f>
        <v>205493807</v>
      </c>
      <c r="I7" s="712">
        <f>'1.sz.mell.'!E96</f>
        <v>198202661</v>
      </c>
      <c r="J7" s="1158"/>
    </row>
    <row r="8" spans="1:10" ht="15" customHeight="1" x14ac:dyDescent="0.2">
      <c r="A8" s="112" t="s">
        <v>235</v>
      </c>
      <c r="B8" s="113" t="s">
        <v>762</v>
      </c>
      <c r="C8" s="633">
        <f>'1.sz.mell.'!C19</f>
        <v>399535</v>
      </c>
      <c r="D8" s="633">
        <f>'1.sz.mell.'!D19</f>
        <v>85930791</v>
      </c>
      <c r="E8" s="633">
        <f>'1.sz.mell.'!E19</f>
        <v>27120913</v>
      </c>
      <c r="F8" s="113" t="s">
        <v>131</v>
      </c>
      <c r="G8" s="709">
        <f>'1.sz.mell.'!C97</f>
        <v>914471448</v>
      </c>
      <c r="H8" s="709">
        <f>'1.sz.mell.'!D97</f>
        <v>810844114</v>
      </c>
      <c r="I8" s="712">
        <f>'1.sz.mell.'!E97</f>
        <v>759722479</v>
      </c>
      <c r="J8" s="1158"/>
    </row>
    <row r="9" spans="1:10" ht="15" customHeight="1" x14ac:dyDescent="0.2">
      <c r="A9" s="112" t="s">
        <v>236</v>
      </c>
      <c r="B9" s="113" t="s">
        <v>303</v>
      </c>
      <c r="C9" s="633">
        <f>'1.sz.mell.'!C27</f>
        <v>352658000</v>
      </c>
      <c r="D9" s="633">
        <f>'1.sz.mell.'!D27</f>
        <v>402108000</v>
      </c>
      <c r="E9" s="633">
        <f>'1.sz.mell.'!E27</f>
        <v>401728642</v>
      </c>
      <c r="F9" s="113" t="s">
        <v>439</v>
      </c>
      <c r="G9" s="634">
        <f>'1.sz.mell.'!C98</f>
        <v>97250000</v>
      </c>
      <c r="H9" s="634">
        <f>'1.sz.mell.'!D98</f>
        <v>139384000</v>
      </c>
      <c r="I9" s="1140">
        <f>'1.sz.mell.'!E98</f>
        <v>67052084</v>
      </c>
      <c r="J9" s="1158"/>
    </row>
    <row r="10" spans="1:10" ht="15" customHeight="1" x14ac:dyDescent="0.2">
      <c r="A10" s="112" t="s">
        <v>237</v>
      </c>
      <c r="B10" s="116" t="s">
        <v>641</v>
      </c>
      <c r="C10" s="633">
        <f>'1.sz.mell.'!C53</f>
        <v>4766000</v>
      </c>
      <c r="D10" s="633">
        <f>'1.sz.mell.'!D53</f>
        <v>4224000</v>
      </c>
      <c r="E10" s="633">
        <f>'1.sz.mell.'!E53</f>
        <v>4421313</v>
      </c>
      <c r="F10" s="113" t="s">
        <v>440</v>
      </c>
      <c r="G10" s="634">
        <f>'1.sz.mell.'!C99</f>
        <v>148261084</v>
      </c>
      <c r="H10" s="634">
        <f>'1.sz.mell.'!D99</f>
        <v>163812363</v>
      </c>
      <c r="I10" s="1140">
        <f>'1.sz.mell.'!E99</f>
        <v>157775199</v>
      </c>
      <c r="J10" s="1158"/>
    </row>
    <row r="11" spans="1:10" ht="15" customHeight="1" x14ac:dyDescent="0.2">
      <c r="A11" s="112" t="s">
        <v>240</v>
      </c>
      <c r="B11" s="113" t="s">
        <v>486</v>
      </c>
      <c r="C11" s="634">
        <f>'1.sz.mell.'!C35</f>
        <v>431324867</v>
      </c>
      <c r="D11" s="634">
        <f>'1.sz.mell.'!D35</f>
        <v>405741309</v>
      </c>
      <c r="E11" s="634">
        <f>'1.sz.mell.'!E35</f>
        <v>393429144</v>
      </c>
      <c r="F11" s="113" t="s">
        <v>238</v>
      </c>
      <c r="G11" s="114">
        <v>69011998</v>
      </c>
      <c r="H11" s="114">
        <v>61998694</v>
      </c>
      <c r="I11" s="115"/>
      <c r="J11" s="1158"/>
    </row>
    <row r="12" spans="1:10" ht="15" customHeight="1" x14ac:dyDescent="0.2">
      <c r="A12" s="112" t="s">
        <v>241</v>
      </c>
      <c r="B12" s="113" t="s">
        <v>506</v>
      </c>
      <c r="C12" s="114"/>
      <c r="D12" s="117"/>
      <c r="E12" s="114"/>
      <c r="F12" s="118"/>
      <c r="G12" s="117"/>
      <c r="H12" s="114"/>
      <c r="I12" s="115"/>
      <c r="J12" s="1158"/>
    </row>
    <row r="13" spans="1:10" ht="15" customHeight="1" x14ac:dyDescent="0.2">
      <c r="A13" s="112" t="s">
        <v>242</v>
      </c>
      <c r="B13" s="118"/>
      <c r="C13" s="114"/>
      <c r="D13" s="114"/>
      <c r="E13" s="114"/>
      <c r="F13" s="118"/>
      <c r="G13" s="114"/>
      <c r="H13" s="114"/>
      <c r="I13" s="115"/>
      <c r="J13" s="1158"/>
    </row>
    <row r="14" spans="1:10" ht="15" customHeight="1" x14ac:dyDescent="0.2">
      <c r="A14" s="112" t="s">
        <v>243</v>
      </c>
      <c r="B14" s="119"/>
      <c r="C14" s="117"/>
      <c r="D14" s="117"/>
      <c r="E14" s="117"/>
      <c r="F14" s="118"/>
      <c r="G14" s="114"/>
      <c r="H14" s="114"/>
      <c r="I14" s="115"/>
      <c r="J14" s="1158"/>
    </row>
    <row r="15" spans="1:10" ht="15" customHeight="1" x14ac:dyDescent="0.2">
      <c r="A15" s="112" t="s">
        <v>244</v>
      </c>
      <c r="B15" s="118"/>
      <c r="C15" s="114"/>
      <c r="D15" s="114"/>
      <c r="E15" s="114"/>
      <c r="F15" s="118"/>
      <c r="G15" s="114"/>
      <c r="H15" s="114"/>
      <c r="I15" s="115"/>
      <c r="J15" s="1158"/>
    </row>
    <row r="16" spans="1:10" ht="15" customHeight="1" x14ac:dyDescent="0.2">
      <c r="A16" s="112" t="s">
        <v>245</v>
      </c>
      <c r="B16" s="118"/>
      <c r="C16" s="114"/>
      <c r="D16" s="114"/>
      <c r="E16" s="114"/>
      <c r="F16" s="118"/>
      <c r="G16" s="114"/>
      <c r="H16" s="114"/>
      <c r="I16" s="115"/>
      <c r="J16" s="1158"/>
    </row>
    <row r="17" spans="1:10" ht="15" customHeight="1" thickBot="1" x14ac:dyDescent="0.25">
      <c r="A17" s="112" t="s">
        <v>246</v>
      </c>
      <c r="B17" s="120"/>
      <c r="C17" s="121"/>
      <c r="D17" s="121"/>
      <c r="E17" s="121"/>
      <c r="F17" s="714"/>
      <c r="G17" s="139"/>
      <c r="H17" s="139"/>
      <c r="I17" s="715"/>
      <c r="J17" s="1158"/>
    </row>
    <row r="18" spans="1:10" ht="17.25" customHeight="1" thickBot="1" x14ac:dyDescent="0.25">
      <c r="A18" s="122" t="s">
        <v>247</v>
      </c>
      <c r="B18" s="123" t="s">
        <v>642</v>
      </c>
      <c r="C18" s="124">
        <f>SUM(C6:C17)-C8</f>
        <v>2287296217</v>
      </c>
      <c r="D18" s="124">
        <f>SUM(D6:D17)-D8</f>
        <v>2261402566</v>
      </c>
      <c r="E18" s="124">
        <f>SUM(E6:E17)-E8</f>
        <v>2185309183</v>
      </c>
      <c r="F18" s="123" t="s">
        <v>643</v>
      </c>
      <c r="G18" s="124">
        <f>SUM(G6:G17)</f>
        <v>2406287198</v>
      </c>
      <c r="H18" s="124">
        <f>SUM(H6:H17)</f>
        <v>2355483617</v>
      </c>
      <c r="I18" s="141">
        <f>SUM(I6:I17)</f>
        <v>2137354184</v>
      </c>
      <c r="J18" s="1158"/>
    </row>
    <row r="19" spans="1:10" ht="15" customHeight="1" x14ac:dyDescent="0.2">
      <c r="A19" s="653" t="s">
        <v>250</v>
      </c>
      <c r="B19" s="655" t="s">
        <v>644</v>
      </c>
      <c r="C19" s="656">
        <f>SUM(C20:C23)</f>
        <v>595229853</v>
      </c>
      <c r="D19" s="656">
        <f t="shared" ref="D19:E19" si="0">SUM(D20:D23)</f>
        <v>620677200</v>
      </c>
      <c r="E19" s="1141">
        <f t="shared" si="0"/>
        <v>620677200</v>
      </c>
      <c r="F19" s="1136" t="s">
        <v>194</v>
      </c>
      <c r="G19" s="1145"/>
      <c r="H19" s="1145"/>
      <c r="I19" s="1146"/>
      <c r="J19" s="1158"/>
    </row>
    <row r="20" spans="1:10" ht="15" customHeight="1" x14ac:dyDescent="0.2">
      <c r="A20" s="654" t="s">
        <v>251</v>
      </c>
      <c r="B20" s="126" t="s">
        <v>132</v>
      </c>
      <c r="C20" s="128">
        <f>'1.sz.mell.'!C73</f>
        <v>595229853</v>
      </c>
      <c r="D20" s="128">
        <f>'1.sz.mell.'!D73</f>
        <v>620677200</v>
      </c>
      <c r="E20" s="1142">
        <f>'1.sz.mell.'!E73</f>
        <v>620677200</v>
      </c>
      <c r="F20" s="126" t="s">
        <v>645</v>
      </c>
      <c r="G20" s="128">
        <v>100000000</v>
      </c>
      <c r="H20" s="128">
        <v>100000000</v>
      </c>
      <c r="I20" s="147"/>
      <c r="J20" s="1158"/>
    </row>
    <row r="21" spans="1:10" ht="15" customHeight="1" x14ac:dyDescent="0.2">
      <c r="A21" s="654" t="s">
        <v>252</v>
      </c>
      <c r="B21" s="126" t="s">
        <v>133</v>
      </c>
      <c r="C21" s="128"/>
      <c r="D21" s="128"/>
      <c r="E21" s="1142"/>
      <c r="F21" s="126" t="s">
        <v>353</v>
      </c>
      <c r="G21" s="128"/>
      <c r="H21" s="128"/>
      <c r="I21" s="147"/>
      <c r="J21" s="1158"/>
    </row>
    <row r="22" spans="1:10" ht="15" customHeight="1" x14ac:dyDescent="0.2">
      <c r="A22" s="654" t="s">
        <v>253</v>
      </c>
      <c r="B22" s="126" t="s">
        <v>134</v>
      </c>
      <c r="C22" s="128"/>
      <c r="D22" s="128"/>
      <c r="E22" s="1142"/>
      <c r="F22" s="126" t="s">
        <v>370</v>
      </c>
      <c r="G22" s="128"/>
      <c r="H22" s="128"/>
      <c r="I22" s="147"/>
      <c r="J22" s="1158"/>
    </row>
    <row r="23" spans="1:10" ht="15" customHeight="1" x14ac:dyDescent="0.2">
      <c r="A23" s="654" t="s">
        <v>254</v>
      </c>
      <c r="B23" s="126" t="s">
        <v>135</v>
      </c>
      <c r="C23" s="128"/>
      <c r="D23" s="128"/>
      <c r="E23" s="1142"/>
      <c r="F23" s="125" t="s">
        <v>136</v>
      </c>
      <c r="G23" s="128"/>
      <c r="H23" s="128"/>
      <c r="I23" s="147"/>
      <c r="J23" s="1158"/>
    </row>
    <row r="24" spans="1:10" ht="15" customHeight="1" x14ac:dyDescent="0.2">
      <c r="A24" s="654" t="s">
        <v>255</v>
      </c>
      <c r="B24" s="126" t="s">
        <v>646</v>
      </c>
      <c r="C24" s="129">
        <f>SUM(C25:C27)</f>
        <v>100000000</v>
      </c>
      <c r="D24" s="129">
        <f>SUM(D25:D27)</f>
        <v>141904332</v>
      </c>
      <c r="E24" s="1143">
        <f t="shared" ref="E24" si="1">SUM(E25:E27)</f>
        <v>41904332</v>
      </c>
      <c r="F24" s="126" t="s">
        <v>195</v>
      </c>
      <c r="G24" s="128"/>
      <c r="H24" s="128"/>
      <c r="I24" s="147"/>
      <c r="J24" s="1158"/>
    </row>
    <row r="25" spans="1:10" ht="15" customHeight="1" x14ac:dyDescent="0.2">
      <c r="A25" s="653" t="s">
        <v>256</v>
      </c>
      <c r="B25" s="126" t="s">
        <v>647</v>
      </c>
      <c r="C25" s="128">
        <f>'1.sz.mell.'!C66</f>
        <v>100000000</v>
      </c>
      <c r="D25" s="128">
        <f>'1.sz.mell.'!D66</f>
        <v>100000000</v>
      </c>
      <c r="E25" s="1142">
        <f>'1.sz.mell.'!E66</f>
        <v>0</v>
      </c>
      <c r="F25" s="111" t="s">
        <v>196</v>
      </c>
      <c r="G25" s="144"/>
      <c r="H25" s="144"/>
      <c r="I25" s="145"/>
      <c r="J25" s="1158"/>
    </row>
    <row r="26" spans="1:10" ht="15" customHeight="1" x14ac:dyDescent="0.2">
      <c r="A26" s="653" t="s">
        <v>257</v>
      </c>
      <c r="B26" s="126" t="s">
        <v>487</v>
      </c>
      <c r="C26" s="128">
        <f>'1.sz.mell.'!C77</f>
        <v>0</v>
      </c>
      <c r="D26" s="128">
        <f>'1.sz.mell.'!D77</f>
        <v>41904332</v>
      </c>
      <c r="E26" s="1142">
        <f>'1.sz.mell.'!E77</f>
        <v>41904332</v>
      </c>
      <c r="F26" s="111"/>
      <c r="G26" s="127"/>
      <c r="H26" s="127"/>
      <c r="I26" s="1147"/>
      <c r="J26" s="1158"/>
    </row>
    <row r="27" spans="1:10" ht="15" customHeight="1" thickBot="1" x14ac:dyDescent="0.25">
      <c r="A27" s="654" t="s">
        <v>258</v>
      </c>
      <c r="B27" s="657" t="s">
        <v>205</v>
      </c>
      <c r="C27" s="261"/>
      <c r="D27" s="261"/>
      <c r="E27" s="1144"/>
      <c r="F27" s="714" t="s">
        <v>204</v>
      </c>
      <c r="G27" s="261">
        <f>'1.sz.mell.'!C139</f>
        <v>38167591</v>
      </c>
      <c r="H27" s="261">
        <f>'1.sz.mell.'!D139</f>
        <v>38167591</v>
      </c>
      <c r="I27" s="658">
        <f>'1.sz.mell.'!E139</f>
        <v>38167591</v>
      </c>
      <c r="J27" s="1158"/>
    </row>
    <row r="28" spans="1:10" ht="17.25" customHeight="1" thickBot="1" x14ac:dyDescent="0.25">
      <c r="A28" s="122" t="s">
        <v>259</v>
      </c>
      <c r="B28" s="123" t="s">
        <v>648</v>
      </c>
      <c r="C28" s="124">
        <f>+C19+C24</f>
        <v>695229853</v>
      </c>
      <c r="D28" s="124">
        <f>+D19+D24</f>
        <v>762581532</v>
      </c>
      <c r="E28" s="124">
        <f>+E19+E24</f>
        <v>662581532</v>
      </c>
      <c r="F28" s="123" t="s">
        <v>649</v>
      </c>
      <c r="G28" s="124">
        <f>SUM(G19:G27)</f>
        <v>138167591</v>
      </c>
      <c r="H28" s="124">
        <f>SUM(H19:H27)</f>
        <v>138167591</v>
      </c>
      <c r="I28" s="141">
        <f>SUM(I19:I27)</f>
        <v>38167591</v>
      </c>
      <c r="J28" s="1158"/>
    </row>
    <row r="29" spans="1:10" ht="13.5" thickBot="1" x14ac:dyDescent="0.25">
      <c r="A29" s="122" t="s">
        <v>260</v>
      </c>
      <c r="B29" s="130" t="s">
        <v>650</v>
      </c>
      <c r="C29" s="131">
        <f>+C18+C28</f>
        <v>2982526070</v>
      </c>
      <c r="D29" s="131">
        <f>+D18+D28</f>
        <v>3023984098</v>
      </c>
      <c r="E29" s="132">
        <f>+E18+E28</f>
        <v>2847890715</v>
      </c>
      <c r="F29" s="130" t="s">
        <v>651</v>
      </c>
      <c r="G29" s="131">
        <f>+G18+G28</f>
        <v>2544454789</v>
      </c>
      <c r="H29" s="131">
        <f>+H18+H28</f>
        <v>2493651208</v>
      </c>
      <c r="I29" s="155">
        <f>+I18+I28</f>
        <v>2175521775</v>
      </c>
      <c r="J29" s="1158"/>
    </row>
    <row r="30" spans="1:10" ht="17.25" customHeight="1" thickBot="1" x14ac:dyDescent="0.25">
      <c r="A30" s="122" t="s">
        <v>261</v>
      </c>
      <c r="B30" s="130" t="s">
        <v>137</v>
      </c>
      <c r="C30" s="131">
        <f>IF(C18-G18&lt;0,G18-C18,"-")</f>
        <v>118990981</v>
      </c>
      <c r="D30" s="131">
        <f>IF(D18-H18&lt;0,H18-D18,"-")</f>
        <v>94081051</v>
      </c>
      <c r="E30" s="132" t="str">
        <f>IF(E18-I18&lt;0,I18-E18,"-")</f>
        <v>-</v>
      </c>
      <c r="F30" s="130" t="s">
        <v>138</v>
      </c>
      <c r="G30" s="131" t="str">
        <f>IF(C18-G18&gt;0,C18-G18,"-")</f>
        <v>-</v>
      </c>
      <c r="H30" s="131" t="str">
        <f>IF(D18-H18&gt;0,D18-H18,"-")</f>
        <v>-</v>
      </c>
      <c r="I30" s="155">
        <f>IF(E18-I18&gt;0,E18-I18,"-")</f>
        <v>47954999</v>
      </c>
      <c r="J30" s="1158"/>
    </row>
    <row r="31" spans="1:10" ht="17.25" customHeight="1" thickBot="1" x14ac:dyDescent="0.25">
      <c r="A31" s="122" t="s">
        <v>262</v>
      </c>
      <c r="B31" s="130" t="s">
        <v>139</v>
      </c>
      <c r="C31" s="131" t="str">
        <f>IF(C29-G29&lt;0,G29-C29,"-")</f>
        <v>-</v>
      </c>
      <c r="D31" s="131" t="str">
        <f>IF(D29-H29&lt;0,H29-D29,"-")</f>
        <v>-</v>
      </c>
      <c r="E31" s="132" t="str">
        <f>IF(E29-I29&lt;0,I29-E29,"-")</f>
        <v>-</v>
      </c>
      <c r="F31" s="130" t="s">
        <v>140</v>
      </c>
      <c r="G31" s="131">
        <f>IF(C29-G29&gt;0,C29-G29,"-")</f>
        <v>438071281</v>
      </c>
      <c r="H31" s="131">
        <f>IF(D29-H29&gt;0,D29-H29,"-")</f>
        <v>530332890</v>
      </c>
      <c r="I31" s="155">
        <f>IF(E29-I29&gt;0,E29-I29,"-")</f>
        <v>672368940</v>
      </c>
      <c r="J31" s="1158"/>
    </row>
  </sheetData>
  <mergeCells count="2">
    <mergeCell ref="A3:A4"/>
    <mergeCell ref="J1:J31"/>
  </mergeCells>
  <phoneticPr fontId="24" type="noConversion"/>
  <printOptions horizontalCentered="1"/>
  <pageMargins left="0.33" right="0.48" top="0.9055118110236221" bottom="0.5" header="0.6692913385826772" footer="0.28000000000000003"/>
  <pageSetup paperSize="9" scale="76" orientation="landscape" verticalDpi="300" r:id="rId1"/>
  <headerFooter alignWithMargins="0">
    <oddHeader xml:space="preserve">&amp;R&amp;"Times New Roman CE,Félkövér dőlt"&amp;11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topLeftCell="A28" zoomScaleNormal="100" zoomScaleSheetLayoutView="145" workbookViewId="0">
      <selection activeCell="H42" sqref="H42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834</v>
      </c>
    </row>
    <row r="2" spans="1:5" s="183" customFormat="1" ht="25.5" customHeight="1" x14ac:dyDescent="0.2">
      <c r="A2" s="181" t="s">
        <v>694</v>
      </c>
      <c r="B2" s="1199" t="s">
        <v>571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5" t="s">
        <v>681</v>
      </c>
      <c r="B5" s="766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12914000</v>
      </c>
      <c r="D8" s="272">
        <f>SUM(D9:D18)</f>
        <v>13169074</v>
      </c>
      <c r="E8" s="244">
        <f>SUM(E9:E18)</f>
        <v>9844471</v>
      </c>
    </row>
    <row r="9" spans="1:5" s="198" customFormat="1" ht="12" customHeight="1" x14ac:dyDescent="0.2">
      <c r="A9" s="245" t="s">
        <v>330</v>
      </c>
      <c r="B9" s="14" t="s">
        <v>485</v>
      </c>
      <c r="C9" s="36">
        <v>20000</v>
      </c>
      <c r="D9" s="36">
        <v>20000</v>
      </c>
      <c r="E9" s="37">
        <v>76656</v>
      </c>
    </row>
    <row r="10" spans="1:5" s="198" customFormat="1" ht="12" customHeight="1" x14ac:dyDescent="0.2">
      <c r="A10" s="248" t="s">
        <v>332</v>
      </c>
      <c r="B10" s="9" t="s">
        <v>496</v>
      </c>
      <c r="C10" s="724">
        <v>10382678</v>
      </c>
      <c r="D10" s="724">
        <v>10452678</v>
      </c>
      <c r="E10" s="40">
        <v>8271585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50000</v>
      </c>
      <c r="D11" s="724">
        <v>50000</v>
      </c>
      <c r="E11" s="40">
        <v>31574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/>
      <c r="D13" s="724"/>
      <c r="E13" s="40"/>
    </row>
    <row r="14" spans="1:5" s="198" customFormat="1" ht="12" customHeight="1" x14ac:dyDescent="0.2">
      <c r="A14" s="248" t="s">
        <v>337</v>
      </c>
      <c r="B14" s="9" t="s">
        <v>698</v>
      </c>
      <c r="C14" s="724">
        <v>1291322</v>
      </c>
      <c r="D14" s="724">
        <v>1310222</v>
      </c>
      <c r="E14" s="40">
        <v>791851</v>
      </c>
    </row>
    <row r="15" spans="1:5" s="200" customFormat="1" ht="12" customHeight="1" x14ac:dyDescent="0.2">
      <c r="A15" s="248" t="s">
        <v>338</v>
      </c>
      <c r="B15" s="7" t="s">
        <v>699</v>
      </c>
      <c r="C15" s="724">
        <v>1170000</v>
      </c>
      <c r="D15" s="724">
        <v>1170000</v>
      </c>
      <c r="E15" s="40">
        <v>502000</v>
      </c>
    </row>
    <row r="16" spans="1:5" s="200" customFormat="1" ht="12" customHeight="1" x14ac:dyDescent="0.2">
      <c r="A16" s="248" t="s">
        <v>339</v>
      </c>
      <c r="B16" s="9" t="s">
        <v>502</v>
      </c>
      <c r="C16" s="724"/>
      <c r="D16" s="724"/>
      <c r="E16" s="40"/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166174</v>
      </c>
      <c r="E18" s="52">
        <v>170805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936269</v>
      </c>
      <c r="E19" s="244">
        <f>SUM(E20:E22)</f>
        <v>936269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>
        <v>936269</v>
      </c>
      <c r="E22" s="140">
        <v>936269</v>
      </c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9.5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>
        <v>408000</v>
      </c>
      <c r="E33" s="254">
        <v>441000</v>
      </c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12914000</v>
      </c>
      <c r="D35" s="272">
        <f>+D8+D19+D24+D25+D29+D33+D34</f>
        <v>14513343</v>
      </c>
      <c r="E35" s="244">
        <f>+E8+E19+E24+E25+E29+E33+E34</f>
        <v>11221740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84938893</v>
      </c>
      <c r="D36" s="272">
        <f>+D37+D38+D39</f>
        <v>81326046</v>
      </c>
      <c r="E36" s="244">
        <f>+E37+E38+E39</f>
        <v>81255168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361287</v>
      </c>
      <c r="D37" s="278">
        <v>361287</v>
      </c>
      <c r="E37" s="257">
        <v>361287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84577606</v>
      </c>
      <c r="D39" s="280">
        <v>80964759</v>
      </c>
      <c r="E39" s="262">
        <v>80893881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97852893</v>
      </c>
      <c r="D40" s="281">
        <f>+D35+D36</f>
        <v>95839389</v>
      </c>
      <c r="E40" s="267">
        <f>+E35+E36</f>
        <v>92476908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95174189</v>
      </c>
      <c r="D44" s="124">
        <f>SUM(D45:D49)</f>
        <v>90543580</v>
      </c>
      <c r="E44" s="244">
        <f>SUM(E45:E49)</f>
        <v>86873892</v>
      </c>
    </row>
    <row r="45" spans="1:5" ht="12" customHeight="1" x14ac:dyDescent="0.2">
      <c r="A45" s="248" t="s">
        <v>330</v>
      </c>
      <c r="B45" s="11" t="s">
        <v>331</v>
      </c>
      <c r="C45" s="73">
        <v>44090923</v>
      </c>
      <c r="D45" s="73">
        <v>42837635</v>
      </c>
      <c r="E45" s="74">
        <v>42684116</v>
      </c>
    </row>
    <row r="46" spans="1:5" ht="12" customHeight="1" x14ac:dyDescent="0.2">
      <c r="A46" s="248" t="s">
        <v>332</v>
      </c>
      <c r="B46" s="9" t="s">
        <v>438</v>
      </c>
      <c r="C46" s="724">
        <v>8671204</v>
      </c>
      <c r="D46" s="724">
        <v>8497095</v>
      </c>
      <c r="E46" s="40">
        <v>8496363</v>
      </c>
    </row>
    <row r="47" spans="1:5" ht="12" customHeight="1" x14ac:dyDescent="0.2">
      <c r="A47" s="248" t="s">
        <v>333</v>
      </c>
      <c r="B47" s="9" t="s">
        <v>334</v>
      </c>
      <c r="C47" s="42">
        <v>42412062</v>
      </c>
      <c r="D47" s="42">
        <v>39208850</v>
      </c>
      <c r="E47" s="43">
        <v>35693413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5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2678704</v>
      </c>
      <c r="D50" s="124">
        <f>SUM(D51:D53)</f>
        <v>5295809</v>
      </c>
      <c r="E50" s="244">
        <f>SUM(E51:E53)</f>
        <v>5167758</v>
      </c>
    </row>
    <row r="51" spans="1:5" ht="12" customHeight="1" x14ac:dyDescent="0.2">
      <c r="A51" s="248" t="s">
        <v>344</v>
      </c>
      <c r="B51" s="11" t="s">
        <v>142</v>
      </c>
      <c r="C51" s="144">
        <v>2678704</v>
      </c>
      <c r="D51" s="144">
        <v>5295809</v>
      </c>
      <c r="E51" s="257">
        <v>5167758</v>
      </c>
    </row>
    <row r="52" spans="1:5" ht="12" customHeight="1" x14ac:dyDescent="0.2">
      <c r="A52" s="248" t="s">
        <v>345</v>
      </c>
      <c r="B52" s="9" t="s">
        <v>225</v>
      </c>
      <c r="C52" s="128"/>
      <c r="D52" s="128"/>
      <c r="E52" s="510"/>
    </row>
    <row r="53" spans="1:5" ht="15" customHeight="1" x14ac:dyDescent="0.2">
      <c r="A53" s="248" t="s">
        <v>346</v>
      </c>
      <c r="B53" s="9" t="s">
        <v>718</v>
      </c>
      <c r="C53" s="128"/>
      <c r="D53" s="128"/>
      <c r="E53" s="510"/>
    </row>
    <row r="54" spans="1:5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97852893</v>
      </c>
      <c r="D55" s="266">
        <f>+D44+D50</f>
        <v>95839389</v>
      </c>
      <c r="E55" s="267">
        <f>+E44+E50</f>
        <v>92041650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602">
        <v>16.75</v>
      </c>
      <c r="D57" s="602">
        <v>16.75</v>
      </c>
      <c r="E57" s="511">
        <v>15</v>
      </c>
    </row>
    <row r="58" spans="1:5" ht="13.5" thickBot="1" x14ac:dyDescent="0.25">
      <c r="A58" s="235" t="s">
        <v>693</v>
      </c>
      <c r="B58" s="236"/>
      <c r="C58" s="237"/>
      <c r="D58" s="237">
        <v>0</v>
      </c>
      <c r="E58" s="271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61"/>
  <sheetViews>
    <sheetView topLeftCell="A40" zoomScaleNormal="100" zoomScaleSheetLayoutView="145" workbookViewId="0">
      <selection activeCell="G16" sqref="G16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835</v>
      </c>
    </row>
    <row r="2" spans="1:5" s="183" customFormat="1" ht="25.5" customHeight="1" x14ac:dyDescent="0.2">
      <c r="A2" s="181" t="s">
        <v>694</v>
      </c>
      <c r="B2" s="1199" t="s">
        <v>572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5" t="s">
        <v>681</v>
      </c>
      <c r="B5" s="766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184566273</v>
      </c>
      <c r="D8" s="272">
        <f>SUM(D9:D18)</f>
        <v>182117888</v>
      </c>
      <c r="E8" s="244">
        <f>SUM(E9:E18)</f>
        <v>178480675</v>
      </c>
    </row>
    <row r="9" spans="1:5" s="198" customFormat="1" ht="12" customHeight="1" x14ac:dyDescent="0.2">
      <c r="A9" s="245" t="s">
        <v>330</v>
      </c>
      <c r="B9" s="14" t="s">
        <v>485</v>
      </c>
      <c r="C9" s="36"/>
      <c r="D9" s="36"/>
      <c r="E9" s="37">
        <v>196887</v>
      </c>
    </row>
    <row r="10" spans="1:5" s="198" customFormat="1" ht="12" customHeight="1" x14ac:dyDescent="0.2">
      <c r="A10" s="248" t="s">
        <v>332</v>
      </c>
      <c r="B10" s="9" t="s">
        <v>496</v>
      </c>
      <c r="C10" s="724">
        <v>10239158</v>
      </c>
      <c r="D10" s="724">
        <v>12715221</v>
      </c>
      <c r="E10" s="40">
        <v>12535962</v>
      </c>
    </row>
    <row r="11" spans="1:5" s="198" customFormat="1" ht="12" customHeight="1" x14ac:dyDescent="0.2">
      <c r="A11" s="248" t="s">
        <v>333</v>
      </c>
      <c r="B11" s="9" t="s">
        <v>497</v>
      </c>
      <c r="C11" s="724">
        <v>12700000</v>
      </c>
      <c r="D11" s="724">
        <v>9450000</v>
      </c>
      <c r="E11" s="40">
        <v>8926631</v>
      </c>
    </row>
    <row r="12" spans="1:5" s="198" customFormat="1" ht="12" customHeight="1" x14ac:dyDescent="0.2">
      <c r="A12" s="248" t="s">
        <v>335</v>
      </c>
      <c r="B12" s="9" t="s">
        <v>498</v>
      </c>
      <c r="C12" s="724"/>
      <c r="D12" s="724"/>
      <c r="E12" s="40"/>
    </row>
    <row r="13" spans="1:5" s="198" customFormat="1" ht="12" customHeight="1" x14ac:dyDescent="0.2">
      <c r="A13" s="248" t="s">
        <v>457</v>
      </c>
      <c r="B13" s="9" t="s">
        <v>499</v>
      </c>
      <c r="C13" s="724">
        <v>157919035</v>
      </c>
      <c r="D13" s="724">
        <v>153919035</v>
      </c>
      <c r="E13" s="40">
        <v>152473422</v>
      </c>
    </row>
    <row r="14" spans="1:5" s="198" customFormat="1" ht="12" customHeight="1" x14ac:dyDescent="0.2">
      <c r="A14" s="248" t="s">
        <v>337</v>
      </c>
      <c r="B14" s="9" t="s">
        <v>698</v>
      </c>
      <c r="C14" s="724">
        <v>3708080</v>
      </c>
      <c r="D14" s="724">
        <v>4348267</v>
      </c>
      <c r="E14" s="40">
        <v>3880095</v>
      </c>
    </row>
    <row r="15" spans="1:5" s="200" customFormat="1" ht="12" customHeight="1" x14ac:dyDescent="0.2">
      <c r="A15" s="248" t="s">
        <v>338</v>
      </c>
      <c r="B15" s="7" t="s">
        <v>699</v>
      </c>
      <c r="C15" s="724"/>
      <c r="D15" s="724"/>
      <c r="E15" s="40"/>
    </row>
    <row r="16" spans="1:5" s="200" customFormat="1" ht="12" customHeight="1" x14ac:dyDescent="0.2">
      <c r="A16" s="248" t="s">
        <v>339</v>
      </c>
      <c r="B16" s="9" t="s">
        <v>502</v>
      </c>
      <c r="C16" s="724"/>
      <c r="D16" s="724"/>
      <c r="E16" s="40"/>
    </row>
    <row r="17" spans="1:5" s="198" customFormat="1" ht="12" customHeight="1" x14ac:dyDescent="0.2">
      <c r="A17" s="248" t="s">
        <v>340</v>
      </c>
      <c r="B17" s="9" t="s">
        <v>504</v>
      </c>
      <c r="C17" s="49"/>
      <c r="D17" s="49"/>
      <c r="E17" s="50"/>
    </row>
    <row r="18" spans="1:5" s="200" customFormat="1" ht="12" customHeight="1" thickBot="1" x14ac:dyDescent="0.25">
      <c r="A18" s="248" t="s">
        <v>341</v>
      </c>
      <c r="B18" s="7" t="s">
        <v>506</v>
      </c>
      <c r="C18" s="51"/>
      <c r="D18" s="51">
        <v>1685365</v>
      </c>
      <c r="E18" s="52">
        <v>467678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272">
        <f>SUM(C20:C22)</f>
        <v>19512535</v>
      </c>
      <c r="D19" s="272">
        <f>SUM(D20:D22)</f>
        <v>20745576</v>
      </c>
      <c r="E19" s="244">
        <f>SUM(E20:E22)</f>
        <v>20742353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>
        <v>19512535</v>
      </c>
      <c r="D22" s="274">
        <v>20745576</v>
      </c>
      <c r="E22" s="140">
        <v>20742353</v>
      </c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907">
        <v>399535</v>
      </c>
      <c r="E23" s="140">
        <v>2611610</v>
      </c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2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4353475</v>
      </c>
      <c r="E25" s="244">
        <f>+E26+E27</f>
        <v>4339000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>
        <v>4353475</v>
      </c>
      <c r="E27" s="259">
        <v>4339000</v>
      </c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/>
      <c r="D33" s="277"/>
      <c r="E33" s="254"/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/>
      <c r="E34" s="254"/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204078808</v>
      </c>
      <c r="D35" s="272">
        <f>+D8+D19+D24+D25+D29+D33+D34</f>
        <v>207216939</v>
      </c>
      <c r="E35" s="244">
        <f>+E8+E19+E24+E25+E29+E33+E34</f>
        <v>203562028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518586592</v>
      </c>
      <c r="D36" s="272">
        <f>+D37+D38+D39</f>
        <v>521474852</v>
      </c>
      <c r="E36" s="244">
        <f>+E37+E38+E39</f>
        <v>520287542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20415305</v>
      </c>
      <c r="D37" s="278">
        <v>20415277</v>
      </c>
      <c r="E37" s="257">
        <v>20415277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498171287</v>
      </c>
      <c r="D39" s="280">
        <v>501059575</v>
      </c>
      <c r="E39" s="262">
        <v>499872265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722665400</v>
      </c>
      <c r="D40" s="281">
        <f>+D35+D36</f>
        <v>728691791</v>
      </c>
      <c r="E40" s="267">
        <f>+E35+E36</f>
        <v>723849570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709966782</v>
      </c>
      <c r="D44" s="124">
        <f>SUM(D45:D49)</f>
        <v>713902088</v>
      </c>
      <c r="E44" s="244">
        <f>SUM(E45:E49)</f>
        <v>697438718</v>
      </c>
    </row>
    <row r="45" spans="1:5" ht="12" customHeight="1" x14ac:dyDescent="0.2">
      <c r="A45" s="248" t="s">
        <v>330</v>
      </c>
      <c r="B45" s="11" t="s">
        <v>331</v>
      </c>
      <c r="C45" s="73">
        <v>432587281</v>
      </c>
      <c r="D45" s="73">
        <v>429470084</v>
      </c>
      <c r="E45" s="74">
        <v>422882166</v>
      </c>
    </row>
    <row r="46" spans="1:5" ht="12" customHeight="1" x14ac:dyDescent="0.2">
      <c r="A46" s="248" t="s">
        <v>332</v>
      </c>
      <c r="B46" s="9" t="s">
        <v>438</v>
      </c>
      <c r="C46" s="724">
        <v>91161523</v>
      </c>
      <c r="D46" s="724">
        <v>90679657</v>
      </c>
      <c r="E46" s="40">
        <v>86728904</v>
      </c>
    </row>
    <row r="47" spans="1:5" ht="12" customHeight="1" x14ac:dyDescent="0.2">
      <c r="A47" s="248" t="s">
        <v>333</v>
      </c>
      <c r="B47" s="9" t="s">
        <v>334</v>
      </c>
      <c r="C47" s="42">
        <v>186217978</v>
      </c>
      <c r="D47" s="42">
        <v>193752347</v>
      </c>
      <c r="E47" s="43">
        <v>187827648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6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6" ht="12" customHeight="1" thickBot="1" x14ac:dyDescent="0.25">
      <c r="A50" s="252" t="s">
        <v>234</v>
      </c>
      <c r="B50" s="81" t="s">
        <v>717</v>
      </c>
      <c r="C50" s="124">
        <f>SUM(C51:C53)</f>
        <v>12698618</v>
      </c>
      <c r="D50" s="124">
        <f>SUM(D51:D53)</f>
        <v>14789703</v>
      </c>
      <c r="E50" s="244">
        <f>SUM(E51:E53)</f>
        <v>12570240</v>
      </c>
    </row>
    <row r="51" spans="1:6" ht="12" customHeight="1" x14ac:dyDescent="0.2">
      <c r="A51" s="248" t="s">
        <v>344</v>
      </c>
      <c r="B51" s="11" t="s">
        <v>142</v>
      </c>
      <c r="C51" s="144">
        <v>12698618</v>
      </c>
      <c r="D51" s="144">
        <v>14789703</v>
      </c>
      <c r="E51" s="257">
        <v>12570240</v>
      </c>
    </row>
    <row r="52" spans="1:6" ht="12" customHeight="1" x14ac:dyDescent="0.2">
      <c r="A52" s="248" t="s">
        <v>345</v>
      </c>
      <c r="B52" s="9" t="s">
        <v>225</v>
      </c>
      <c r="C52" s="128"/>
      <c r="D52" s="128"/>
      <c r="E52" s="510"/>
    </row>
    <row r="53" spans="1:6" ht="15" customHeight="1" x14ac:dyDescent="0.2">
      <c r="A53" s="248" t="s">
        <v>346</v>
      </c>
      <c r="B53" s="9" t="s">
        <v>718</v>
      </c>
      <c r="C53" s="128"/>
      <c r="D53" s="128"/>
      <c r="E53" s="510"/>
    </row>
    <row r="54" spans="1:6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6" ht="15" customHeight="1" thickBot="1" x14ac:dyDescent="0.25">
      <c r="A55" s="252" t="s">
        <v>235</v>
      </c>
      <c r="B55" s="268" t="s">
        <v>720</v>
      </c>
      <c r="C55" s="266">
        <f>+C44+C50</f>
        <v>722665400</v>
      </c>
      <c r="D55" s="266">
        <f>+D44+D50</f>
        <v>728691791</v>
      </c>
      <c r="E55" s="267">
        <f>+E44+E50</f>
        <v>710008958</v>
      </c>
    </row>
    <row r="56" spans="1:6" ht="13.5" thickBot="1" x14ac:dyDescent="0.25">
      <c r="C56" s="270"/>
      <c r="D56" s="270"/>
      <c r="E56" s="270"/>
    </row>
    <row r="57" spans="1:6" ht="13.5" thickBot="1" x14ac:dyDescent="0.25">
      <c r="A57" s="235" t="s">
        <v>692</v>
      </c>
      <c r="B57" s="236"/>
      <c r="C57" s="675">
        <v>141.19999999999999</v>
      </c>
      <c r="D57" s="675">
        <v>144.07</v>
      </c>
      <c r="E57" s="674">
        <v>137.30000000000001</v>
      </c>
      <c r="F57" s="908"/>
    </row>
    <row r="58" spans="1:6" x14ac:dyDescent="0.2">
      <c r="A58" s="636" t="s">
        <v>493</v>
      </c>
      <c r="B58" s="637"/>
      <c r="C58" s="673"/>
      <c r="D58" s="673">
        <v>1.3</v>
      </c>
      <c r="E58" s="672">
        <v>1</v>
      </c>
    </row>
    <row r="59" spans="1:6" x14ac:dyDescent="0.2">
      <c r="A59" s="639" t="s">
        <v>494</v>
      </c>
      <c r="B59" s="638"/>
      <c r="C59" s="671">
        <v>61</v>
      </c>
      <c r="D59" s="671">
        <v>61</v>
      </c>
      <c r="E59" s="670">
        <f>(44*5+29*6+14*12+8*3+1*1+7*3)/12</f>
        <v>50.666666666666664</v>
      </c>
    </row>
    <row r="60" spans="1:6" x14ac:dyDescent="0.2">
      <c r="A60" s="1209" t="s">
        <v>495</v>
      </c>
      <c r="B60" s="1210"/>
      <c r="C60" s="671"/>
      <c r="D60" s="671">
        <v>1.1000000000000001</v>
      </c>
      <c r="E60" s="670">
        <v>1.1000000000000001</v>
      </c>
    </row>
    <row r="61" spans="1:6" ht="13.5" thickBot="1" x14ac:dyDescent="0.25">
      <c r="A61" s="1207" t="s">
        <v>766</v>
      </c>
      <c r="B61" s="1208"/>
      <c r="C61" s="909">
        <v>2</v>
      </c>
      <c r="D61" s="669">
        <v>2</v>
      </c>
      <c r="E61" s="668">
        <f>(1*12+1*8.5)/12</f>
        <v>1.7083333333333333</v>
      </c>
    </row>
  </sheetData>
  <sheetProtection formatCells="0"/>
  <mergeCells count="6">
    <mergeCell ref="A61:B61"/>
    <mergeCell ref="B2:D2"/>
    <mergeCell ref="B3:D3"/>
    <mergeCell ref="A7:E7"/>
    <mergeCell ref="A43:E43"/>
    <mergeCell ref="A60:B60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58"/>
  <sheetViews>
    <sheetView topLeftCell="A25" zoomScaleNormal="100" zoomScaleSheetLayoutView="145" workbookViewId="0">
      <selection activeCell="K45" sqref="K45"/>
    </sheetView>
  </sheetViews>
  <sheetFormatPr defaultColWidth="8" defaultRowHeight="12.75" x14ac:dyDescent="0.2"/>
  <cols>
    <col min="1" max="1" width="16" style="269" customWidth="1"/>
    <col min="2" max="2" width="53.140625" style="191" customWidth="1"/>
    <col min="3" max="5" width="13.5703125" style="191" customWidth="1"/>
    <col min="6" max="16384" width="8" style="191"/>
  </cols>
  <sheetData>
    <row r="1" spans="1:5" s="180" customFormat="1" ht="21" customHeight="1" thickBot="1" x14ac:dyDescent="0.25">
      <c r="A1" s="176"/>
      <c r="B1" s="177"/>
      <c r="C1" s="178"/>
      <c r="D1" s="178"/>
      <c r="E1" s="240" t="s">
        <v>836</v>
      </c>
    </row>
    <row r="2" spans="1:5" s="183" customFormat="1" ht="25.5" customHeight="1" x14ac:dyDescent="0.2">
      <c r="A2" s="181" t="s">
        <v>694</v>
      </c>
      <c r="B2" s="1199" t="s">
        <v>193</v>
      </c>
      <c r="C2" s="1200"/>
      <c r="D2" s="1201"/>
      <c r="E2" s="241" t="s">
        <v>721</v>
      </c>
    </row>
    <row r="3" spans="1:5" s="183" customFormat="1" ht="24.75" thickBot="1" x14ac:dyDescent="0.25">
      <c r="A3" s="184" t="s">
        <v>722</v>
      </c>
      <c r="B3" s="1202" t="s">
        <v>680</v>
      </c>
      <c r="C3" s="1205"/>
      <c r="D3" s="1206"/>
      <c r="E3" s="242" t="s">
        <v>678</v>
      </c>
    </row>
    <row r="4" spans="1:5" s="188" customFormat="1" ht="15.95" customHeight="1" thickBot="1" x14ac:dyDescent="0.3">
      <c r="A4" s="186"/>
      <c r="B4" s="186"/>
      <c r="C4" s="187"/>
      <c r="D4" s="187"/>
      <c r="E4" s="187" t="s">
        <v>490</v>
      </c>
    </row>
    <row r="5" spans="1:5" ht="24.75" thickBot="1" x14ac:dyDescent="0.25">
      <c r="A5" s="765" t="s">
        <v>681</v>
      </c>
      <c r="B5" s="766" t="s">
        <v>682</v>
      </c>
      <c r="C5" s="189" t="s">
        <v>444</v>
      </c>
      <c r="D5" s="189" t="s">
        <v>445</v>
      </c>
      <c r="E5" s="190" t="s">
        <v>221</v>
      </c>
    </row>
    <row r="6" spans="1:5" s="196" customFormat="1" ht="12.95" customHeight="1" thickBot="1" x14ac:dyDescent="0.25">
      <c r="A6" s="192" t="s">
        <v>446</v>
      </c>
      <c r="B6" s="193" t="s">
        <v>447</v>
      </c>
      <c r="C6" s="193" t="s">
        <v>448</v>
      </c>
      <c r="D6" s="194" t="s">
        <v>449</v>
      </c>
      <c r="E6" s="195" t="s">
        <v>450</v>
      </c>
    </row>
    <row r="7" spans="1:5" s="196" customFormat="1" ht="15.95" customHeight="1" thickBot="1" x14ac:dyDescent="0.25">
      <c r="A7" s="1196" t="s">
        <v>129</v>
      </c>
      <c r="B7" s="1197"/>
      <c r="C7" s="1197"/>
      <c r="D7" s="1197"/>
      <c r="E7" s="1198"/>
    </row>
    <row r="8" spans="1:5" s="198" customFormat="1" ht="12" customHeight="1" thickBot="1" x14ac:dyDescent="0.25">
      <c r="A8" s="192" t="s">
        <v>228</v>
      </c>
      <c r="B8" s="243" t="s">
        <v>697</v>
      </c>
      <c r="C8" s="124">
        <f>SUM(C9:C18)</f>
        <v>850595</v>
      </c>
      <c r="D8" s="272">
        <f>SUM(D9:D18)</f>
        <v>879351</v>
      </c>
      <c r="E8" s="244">
        <f>SUM(E9:E18)</f>
        <v>942130</v>
      </c>
    </row>
    <row r="9" spans="1:5" s="198" customFormat="1" ht="12" customHeight="1" x14ac:dyDescent="0.2">
      <c r="A9" s="245" t="s">
        <v>330</v>
      </c>
      <c r="B9" s="14" t="s">
        <v>485</v>
      </c>
      <c r="C9" s="246"/>
      <c r="D9" s="273"/>
      <c r="E9" s="247"/>
    </row>
    <row r="10" spans="1:5" s="198" customFormat="1" ht="12" customHeight="1" x14ac:dyDescent="0.2">
      <c r="A10" s="248" t="s">
        <v>332</v>
      </c>
      <c r="B10" s="9" t="s">
        <v>496</v>
      </c>
      <c r="C10" s="114"/>
      <c r="D10" s="274"/>
      <c r="E10" s="140">
        <v>6162</v>
      </c>
    </row>
    <row r="11" spans="1:5" s="198" customFormat="1" ht="12" customHeight="1" x14ac:dyDescent="0.2">
      <c r="A11" s="248" t="s">
        <v>333</v>
      </c>
      <c r="B11" s="9" t="s">
        <v>497</v>
      </c>
      <c r="C11" s="114"/>
      <c r="D11" s="274"/>
      <c r="E11" s="140"/>
    </row>
    <row r="12" spans="1:5" s="198" customFormat="1" ht="12" customHeight="1" x14ac:dyDescent="0.2">
      <c r="A12" s="248" t="s">
        <v>335</v>
      </c>
      <c r="B12" s="9" t="s">
        <v>498</v>
      </c>
      <c r="C12" s="114"/>
      <c r="D12" s="274"/>
      <c r="E12" s="140"/>
    </row>
    <row r="13" spans="1:5" s="198" customFormat="1" ht="12" customHeight="1" x14ac:dyDescent="0.2">
      <c r="A13" s="248" t="s">
        <v>457</v>
      </c>
      <c r="B13" s="9" t="s">
        <v>499</v>
      </c>
      <c r="C13" s="114">
        <v>669760</v>
      </c>
      <c r="D13" s="274">
        <v>669760</v>
      </c>
      <c r="E13" s="140">
        <v>710182</v>
      </c>
    </row>
    <row r="14" spans="1:5" s="198" customFormat="1" ht="12" customHeight="1" x14ac:dyDescent="0.2">
      <c r="A14" s="248" t="s">
        <v>337</v>
      </c>
      <c r="B14" s="9" t="s">
        <v>698</v>
      </c>
      <c r="C14" s="114">
        <v>180835</v>
      </c>
      <c r="D14" s="274">
        <v>180835</v>
      </c>
      <c r="E14" s="140">
        <v>193459</v>
      </c>
    </row>
    <row r="15" spans="1:5" s="200" customFormat="1" ht="12" customHeight="1" x14ac:dyDescent="0.2">
      <c r="A15" s="248" t="s">
        <v>338</v>
      </c>
      <c r="B15" s="7" t="s">
        <v>699</v>
      </c>
      <c r="C15" s="114"/>
      <c r="D15" s="274"/>
      <c r="E15" s="140"/>
    </row>
    <row r="16" spans="1:5" s="200" customFormat="1" ht="12" customHeight="1" x14ac:dyDescent="0.2">
      <c r="A16" s="248" t="s">
        <v>339</v>
      </c>
      <c r="B16" s="9" t="s">
        <v>502</v>
      </c>
      <c r="C16" s="249"/>
      <c r="D16" s="275"/>
      <c r="E16" s="250"/>
    </row>
    <row r="17" spans="1:5" s="198" customFormat="1" ht="12" customHeight="1" x14ac:dyDescent="0.2">
      <c r="A17" s="248" t="s">
        <v>340</v>
      </c>
      <c r="B17" s="9" t="s">
        <v>504</v>
      </c>
      <c r="C17" s="114"/>
      <c r="D17" s="274"/>
      <c r="E17" s="140"/>
    </row>
    <row r="18" spans="1:5" s="200" customFormat="1" ht="12" customHeight="1" thickBot="1" x14ac:dyDescent="0.25">
      <c r="A18" s="248" t="s">
        <v>341</v>
      </c>
      <c r="B18" s="7" t="s">
        <v>506</v>
      </c>
      <c r="C18" s="121"/>
      <c r="D18" s="276">
        <v>28756</v>
      </c>
      <c r="E18" s="251">
        <v>32327</v>
      </c>
    </row>
    <row r="19" spans="1:5" s="200" customFormat="1" ht="12" customHeight="1" thickBot="1" x14ac:dyDescent="0.25">
      <c r="A19" s="192" t="s">
        <v>234</v>
      </c>
      <c r="B19" s="243" t="s">
        <v>700</v>
      </c>
      <c r="C19" s="124">
        <f>SUM(C20:C22)</f>
        <v>0</v>
      </c>
      <c r="D19" s="272">
        <f>SUM(D20:D22)</f>
        <v>0</v>
      </c>
      <c r="E19" s="244">
        <f>SUM(E20:E22)</f>
        <v>0</v>
      </c>
    </row>
    <row r="20" spans="1:5" s="200" customFormat="1" ht="12" customHeight="1" x14ac:dyDescent="0.2">
      <c r="A20" s="248" t="s">
        <v>344</v>
      </c>
      <c r="B20" s="11" t="s">
        <v>461</v>
      </c>
      <c r="C20" s="114"/>
      <c r="D20" s="274"/>
      <c r="E20" s="140"/>
    </row>
    <row r="21" spans="1:5" s="200" customFormat="1" ht="12" customHeight="1" x14ac:dyDescent="0.2">
      <c r="A21" s="248" t="s">
        <v>345</v>
      </c>
      <c r="B21" s="9" t="s">
        <v>701</v>
      </c>
      <c r="C21" s="114"/>
      <c r="D21" s="274"/>
      <c r="E21" s="140"/>
    </row>
    <row r="22" spans="1:5" s="200" customFormat="1" ht="12" customHeight="1" x14ac:dyDescent="0.2">
      <c r="A22" s="248" t="s">
        <v>346</v>
      </c>
      <c r="B22" s="9" t="s">
        <v>702</v>
      </c>
      <c r="C22" s="114"/>
      <c r="D22" s="274"/>
      <c r="E22" s="140"/>
    </row>
    <row r="23" spans="1:5" s="198" customFormat="1" ht="12" customHeight="1" thickBot="1" x14ac:dyDescent="0.25">
      <c r="A23" s="248" t="s">
        <v>347</v>
      </c>
      <c r="B23" s="9" t="s">
        <v>723</v>
      </c>
      <c r="C23" s="114"/>
      <c r="D23" s="274"/>
      <c r="E23" s="140"/>
    </row>
    <row r="24" spans="1:5" s="198" customFormat="1" ht="12" customHeight="1" thickBot="1" x14ac:dyDescent="0.25">
      <c r="A24" s="252" t="s">
        <v>235</v>
      </c>
      <c r="B24" s="81" t="s">
        <v>303</v>
      </c>
      <c r="C24" s="253"/>
      <c r="D24" s="277"/>
      <c r="E24" s="254"/>
    </row>
    <row r="25" spans="1:5" s="198" customFormat="1" ht="12" customHeight="1" thickBot="1" x14ac:dyDescent="0.25">
      <c r="A25" s="252" t="s">
        <v>236</v>
      </c>
      <c r="B25" s="81" t="s">
        <v>704</v>
      </c>
      <c r="C25" s="124">
        <f>+C26+C27</f>
        <v>0</v>
      </c>
      <c r="D25" s="272">
        <f>+D26+D27</f>
        <v>0</v>
      </c>
      <c r="E25" s="244">
        <f>+E26+E27</f>
        <v>0</v>
      </c>
    </row>
    <row r="26" spans="1:5" s="198" customFormat="1" ht="12" customHeight="1" x14ac:dyDescent="0.2">
      <c r="A26" s="255" t="s">
        <v>317</v>
      </c>
      <c r="B26" s="256" t="s">
        <v>701</v>
      </c>
      <c r="C26" s="144"/>
      <c r="D26" s="278"/>
      <c r="E26" s="257"/>
    </row>
    <row r="27" spans="1:5" s="198" customFormat="1" ht="12" customHeight="1" x14ac:dyDescent="0.2">
      <c r="A27" s="255" t="s">
        <v>318</v>
      </c>
      <c r="B27" s="258" t="s">
        <v>705</v>
      </c>
      <c r="C27" s="127"/>
      <c r="D27" s="279"/>
      <c r="E27" s="259"/>
    </row>
    <row r="28" spans="1:5" s="198" customFormat="1" ht="12" customHeight="1" thickBot="1" x14ac:dyDescent="0.25">
      <c r="A28" s="248" t="s">
        <v>481</v>
      </c>
      <c r="B28" s="260" t="s">
        <v>724</v>
      </c>
      <c r="C28" s="261"/>
      <c r="D28" s="280"/>
      <c r="E28" s="262"/>
    </row>
    <row r="29" spans="1:5" s="198" customFormat="1" ht="12" customHeight="1" thickBot="1" x14ac:dyDescent="0.25">
      <c r="A29" s="252" t="s">
        <v>237</v>
      </c>
      <c r="B29" s="81" t="s">
        <v>707</v>
      </c>
      <c r="C29" s="124">
        <f>+C30+C31+C32</f>
        <v>0</v>
      </c>
      <c r="D29" s="272">
        <f>+D30+D31+D32</f>
        <v>0</v>
      </c>
      <c r="E29" s="244">
        <f>+E30+E31+E32</f>
        <v>0</v>
      </c>
    </row>
    <row r="30" spans="1:5" s="198" customFormat="1" ht="12" customHeight="1" x14ac:dyDescent="0.2">
      <c r="A30" s="255" t="s">
        <v>319</v>
      </c>
      <c r="B30" s="256" t="s">
        <v>508</v>
      </c>
      <c r="C30" s="144"/>
      <c r="D30" s="278"/>
      <c r="E30" s="257"/>
    </row>
    <row r="31" spans="1:5" s="198" customFormat="1" ht="12" customHeight="1" x14ac:dyDescent="0.2">
      <c r="A31" s="255" t="s">
        <v>320</v>
      </c>
      <c r="B31" s="258" t="s">
        <v>199</v>
      </c>
      <c r="C31" s="127"/>
      <c r="D31" s="279"/>
      <c r="E31" s="259"/>
    </row>
    <row r="32" spans="1:5" s="198" customFormat="1" ht="12" customHeight="1" thickBot="1" x14ac:dyDescent="0.25">
      <c r="A32" s="248" t="s">
        <v>321</v>
      </c>
      <c r="B32" s="263" t="s">
        <v>510</v>
      </c>
      <c r="C32" s="261"/>
      <c r="D32" s="280"/>
      <c r="E32" s="262"/>
    </row>
    <row r="33" spans="1:5" s="198" customFormat="1" ht="12" customHeight="1" thickBot="1" x14ac:dyDescent="0.25">
      <c r="A33" s="252" t="s">
        <v>240</v>
      </c>
      <c r="B33" s="81" t="s">
        <v>641</v>
      </c>
      <c r="C33" s="253">
        <v>0</v>
      </c>
      <c r="D33" s="277"/>
      <c r="E33" s="254"/>
    </row>
    <row r="34" spans="1:5" s="198" customFormat="1" ht="12" customHeight="1" thickBot="1" x14ac:dyDescent="0.25">
      <c r="A34" s="252" t="s">
        <v>241</v>
      </c>
      <c r="B34" s="81" t="s">
        <v>708</v>
      </c>
      <c r="C34" s="253"/>
      <c r="D34" s="277">
        <v>20000</v>
      </c>
      <c r="E34" s="254">
        <v>20000</v>
      </c>
    </row>
    <row r="35" spans="1:5" s="198" customFormat="1" ht="12" customHeight="1" thickBot="1" x14ac:dyDescent="0.25">
      <c r="A35" s="192" t="s">
        <v>242</v>
      </c>
      <c r="B35" s="81" t="s">
        <v>725</v>
      </c>
      <c r="C35" s="124">
        <f>+C8+C19+C24+C25+C29+C33+C34</f>
        <v>850595</v>
      </c>
      <c r="D35" s="272">
        <f>+D8+D19+D24+D25+D29+D33+D34</f>
        <v>899351</v>
      </c>
      <c r="E35" s="244">
        <f>+E8+E19+E24+E25+E29+E33+E34</f>
        <v>962130</v>
      </c>
    </row>
    <row r="36" spans="1:5" s="200" customFormat="1" ht="12" customHeight="1" thickBot="1" x14ac:dyDescent="0.25">
      <c r="A36" s="264" t="s">
        <v>243</v>
      </c>
      <c r="B36" s="81" t="s">
        <v>710</v>
      </c>
      <c r="C36" s="124">
        <f>+C37+C38+C39</f>
        <v>86745155</v>
      </c>
      <c r="D36" s="272">
        <f>+D37+D38+D39</f>
        <v>85962852</v>
      </c>
      <c r="E36" s="244">
        <f>+E37+E38+E39</f>
        <v>84449506</v>
      </c>
    </row>
    <row r="37" spans="1:5" s="200" customFormat="1" ht="15" customHeight="1" x14ac:dyDescent="0.2">
      <c r="A37" s="255" t="s">
        <v>711</v>
      </c>
      <c r="B37" s="256" t="s">
        <v>145</v>
      </c>
      <c r="C37" s="144">
        <v>93639</v>
      </c>
      <c r="D37" s="278">
        <v>93639</v>
      </c>
      <c r="E37" s="257">
        <v>93639</v>
      </c>
    </row>
    <row r="38" spans="1:5" s="200" customFormat="1" ht="15" customHeight="1" x14ac:dyDescent="0.2">
      <c r="A38" s="255" t="s">
        <v>712</v>
      </c>
      <c r="B38" s="258" t="s">
        <v>437</v>
      </c>
      <c r="C38" s="127"/>
      <c r="D38" s="279"/>
      <c r="E38" s="259"/>
    </row>
    <row r="39" spans="1:5" ht="13.5" thickBot="1" x14ac:dyDescent="0.25">
      <c r="A39" s="248" t="s">
        <v>713</v>
      </c>
      <c r="B39" s="263" t="s">
        <v>714</v>
      </c>
      <c r="C39" s="261">
        <v>86651516</v>
      </c>
      <c r="D39" s="280">
        <v>85869213</v>
      </c>
      <c r="E39" s="262">
        <v>84355867</v>
      </c>
    </row>
    <row r="40" spans="1:5" s="196" customFormat="1" ht="16.5" customHeight="1" thickBot="1" x14ac:dyDescent="0.25">
      <c r="A40" s="264" t="s">
        <v>244</v>
      </c>
      <c r="B40" s="265" t="s">
        <v>715</v>
      </c>
      <c r="C40" s="266">
        <f>+C35+C36</f>
        <v>87595750</v>
      </c>
      <c r="D40" s="281">
        <f>+D35+D36</f>
        <v>86862203</v>
      </c>
      <c r="E40" s="267">
        <f>+E35+E36</f>
        <v>85411636</v>
      </c>
    </row>
    <row r="41" spans="1:5" s="218" customFormat="1" ht="12" customHeight="1" x14ac:dyDescent="0.2">
      <c r="A41" s="210"/>
      <c r="B41" s="211"/>
      <c r="C41" s="212"/>
      <c r="D41" s="212"/>
      <c r="E41" s="212"/>
    </row>
    <row r="42" spans="1:5" ht="12" customHeight="1" thickBot="1" x14ac:dyDescent="0.25">
      <c r="A42" s="213"/>
      <c r="B42" s="214"/>
      <c r="C42" s="215"/>
      <c r="D42" s="215"/>
      <c r="E42" s="215"/>
    </row>
    <row r="43" spans="1:5" ht="12" customHeight="1" thickBot="1" x14ac:dyDescent="0.25">
      <c r="A43" s="1196" t="s">
        <v>130</v>
      </c>
      <c r="B43" s="1197"/>
      <c r="C43" s="1197"/>
      <c r="D43" s="1197"/>
      <c r="E43" s="1198"/>
    </row>
    <row r="44" spans="1:5" ht="12" customHeight="1" thickBot="1" x14ac:dyDescent="0.25">
      <c r="A44" s="252" t="s">
        <v>228</v>
      </c>
      <c r="B44" s="81" t="s">
        <v>716</v>
      </c>
      <c r="C44" s="124">
        <f>SUM(C45:C49)</f>
        <v>85964940</v>
      </c>
      <c r="D44" s="124">
        <f>SUM(D45:D49)</f>
        <v>84447193</v>
      </c>
      <c r="E44" s="244">
        <f>SUM(E45:E49)</f>
        <v>82753771</v>
      </c>
    </row>
    <row r="45" spans="1:5" ht="12" customHeight="1" x14ac:dyDescent="0.2">
      <c r="A45" s="248" t="s">
        <v>330</v>
      </c>
      <c r="B45" s="11" t="s">
        <v>331</v>
      </c>
      <c r="C45" s="73">
        <v>58944411</v>
      </c>
      <c r="D45" s="73">
        <v>58504230</v>
      </c>
      <c r="E45" s="74">
        <v>58309186</v>
      </c>
    </row>
    <row r="46" spans="1:5" ht="12" customHeight="1" x14ac:dyDescent="0.2">
      <c r="A46" s="248"/>
      <c r="B46" s="9" t="s">
        <v>438</v>
      </c>
      <c r="C46" s="724">
        <v>11728198</v>
      </c>
      <c r="D46" s="724">
        <v>11620632</v>
      </c>
      <c r="E46" s="40">
        <v>11591354</v>
      </c>
    </row>
    <row r="47" spans="1:5" ht="12" customHeight="1" x14ac:dyDescent="0.2">
      <c r="A47" s="248" t="s">
        <v>333</v>
      </c>
      <c r="B47" s="9" t="s">
        <v>334</v>
      </c>
      <c r="C47" s="42">
        <v>15292331</v>
      </c>
      <c r="D47" s="42">
        <v>14322331</v>
      </c>
      <c r="E47" s="43">
        <v>12853231</v>
      </c>
    </row>
    <row r="48" spans="1:5" s="218" customFormat="1" ht="12" customHeight="1" x14ac:dyDescent="0.2">
      <c r="A48" s="248" t="s">
        <v>335</v>
      </c>
      <c r="B48" s="9" t="s">
        <v>439</v>
      </c>
      <c r="C48" s="128"/>
      <c r="D48" s="128"/>
      <c r="E48" s="510"/>
    </row>
    <row r="49" spans="1:5" ht="12" customHeight="1" thickBot="1" x14ac:dyDescent="0.25">
      <c r="A49" s="248" t="s">
        <v>457</v>
      </c>
      <c r="B49" s="9" t="s">
        <v>440</v>
      </c>
      <c r="C49" s="128"/>
      <c r="D49" s="128"/>
      <c r="E49" s="510"/>
    </row>
    <row r="50" spans="1:5" ht="12" customHeight="1" thickBot="1" x14ac:dyDescent="0.25">
      <c r="A50" s="252" t="s">
        <v>234</v>
      </c>
      <c r="B50" s="81" t="s">
        <v>717</v>
      </c>
      <c r="C50" s="124">
        <f>SUM(C51:C53)</f>
        <v>1630810</v>
      </c>
      <c r="D50" s="124">
        <f>SUM(D51:D53)</f>
        <v>2415010</v>
      </c>
      <c r="E50" s="244">
        <f>SUM(E51:E53)</f>
        <v>2285061</v>
      </c>
    </row>
    <row r="51" spans="1:5" ht="12" customHeight="1" x14ac:dyDescent="0.2">
      <c r="A51" s="248" t="s">
        <v>344</v>
      </c>
      <c r="B51" s="11" t="s">
        <v>142</v>
      </c>
      <c r="C51" s="144">
        <v>1630810</v>
      </c>
      <c r="D51" s="144">
        <v>2415010</v>
      </c>
      <c r="E51" s="257">
        <v>2285061</v>
      </c>
    </row>
    <row r="52" spans="1:5" ht="12" customHeight="1" x14ac:dyDescent="0.2">
      <c r="A52" s="248" t="s">
        <v>345</v>
      </c>
      <c r="B52" s="9" t="s">
        <v>225</v>
      </c>
      <c r="C52" s="128"/>
      <c r="D52" s="128"/>
      <c r="E52" s="510"/>
    </row>
    <row r="53" spans="1:5" ht="15" customHeight="1" x14ac:dyDescent="0.2">
      <c r="A53" s="248" t="s">
        <v>346</v>
      </c>
      <c r="B53" s="9" t="s">
        <v>718</v>
      </c>
      <c r="C53" s="128"/>
      <c r="D53" s="128"/>
      <c r="E53" s="510"/>
    </row>
    <row r="54" spans="1:5" ht="23.25" thickBot="1" x14ac:dyDescent="0.25">
      <c r="A54" s="248" t="s">
        <v>347</v>
      </c>
      <c r="B54" s="9" t="s">
        <v>726</v>
      </c>
      <c r="C54" s="128"/>
      <c r="D54" s="128"/>
      <c r="E54" s="510"/>
    </row>
    <row r="55" spans="1:5" ht="15" customHeight="1" thickBot="1" x14ac:dyDescent="0.25">
      <c r="A55" s="252" t="s">
        <v>235</v>
      </c>
      <c r="B55" s="268" t="s">
        <v>720</v>
      </c>
      <c r="C55" s="266">
        <f>+C44+C50</f>
        <v>87595750</v>
      </c>
      <c r="D55" s="266">
        <f>+D44+D50</f>
        <v>86862203</v>
      </c>
      <c r="E55" s="267">
        <f>+E44+E50</f>
        <v>85038832</v>
      </c>
    </row>
    <row r="56" spans="1:5" ht="13.5" thickBot="1" x14ac:dyDescent="0.25">
      <c r="C56" s="270"/>
      <c r="D56" s="270"/>
      <c r="E56" s="270"/>
    </row>
    <row r="57" spans="1:5" ht="13.5" thickBot="1" x14ac:dyDescent="0.25">
      <c r="A57" s="235" t="s">
        <v>692</v>
      </c>
      <c r="B57" s="236"/>
      <c r="C57" s="237">
        <v>21</v>
      </c>
      <c r="D57" s="237">
        <v>21</v>
      </c>
      <c r="E57" s="271">
        <v>21</v>
      </c>
    </row>
    <row r="58" spans="1:5" ht="13.5" thickBot="1" x14ac:dyDescent="0.25">
      <c r="A58" s="235" t="s">
        <v>693</v>
      </c>
      <c r="B58" s="236"/>
      <c r="C58" s="237">
        <v>0</v>
      </c>
      <c r="D58" s="237">
        <v>0</v>
      </c>
      <c r="E58" s="271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38"/>
  <sheetViews>
    <sheetView view="pageLayout" zoomScaleNormal="100" workbookViewId="0">
      <selection activeCell="G12" sqref="G12"/>
    </sheetView>
  </sheetViews>
  <sheetFormatPr defaultColWidth="8" defaultRowHeight="12.75" x14ac:dyDescent="0.2"/>
  <cols>
    <col min="1" max="1" width="6" style="282" customWidth="1"/>
    <col min="2" max="2" width="27.7109375" style="191" customWidth="1"/>
    <col min="3" max="3" width="11.85546875" style="191" customWidth="1"/>
    <col min="4" max="6" width="10.140625" style="191" customWidth="1"/>
    <col min="7" max="7" width="11" style="191" customWidth="1"/>
    <col min="8" max="16384" width="8" style="191"/>
  </cols>
  <sheetData>
    <row r="1" spans="1:8" ht="14.25" thickBot="1" x14ac:dyDescent="0.25">
      <c r="G1" s="96" t="s">
        <v>489</v>
      </c>
    </row>
    <row r="2" spans="1:8" ht="17.25" customHeight="1" thickBot="1" x14ac:dyDescent="0.25">
      <c r="A2" s="1215" t="s">
        <v>310</v>
      </c>
      <c r="B2" s="1217" t="s">
        <v>727</v>
      </c>
      <c r="C2" s="1217" t="s">
        <v>728</v>
      </c>
      <c r="D2" s="1217" t="s">
        <v>729</v>
      </c>
      <c r="E2" s="1211" t="s">
        <v>730</v>
      </c>
      <c r="F2" s="1211"/>
      <c r="G2" s="1212"/>
    </row>
    <row r="3" spans="1:8" s="285" customFormat="1" ht="57.75" customHeight="1" thickBot="1" x14ac:dyDescent="0.25">
      <c r="A3" s="1216"/>
      <c r="B3" s="1218"/>
      <c r="C3" s="1218"/>
      <c r="D3" s="1218"/>
      <c r="E3" s="283" t="s">
        <v>731</v>
      </c>
      <c r="F3" s="283" t="s">
        <v>732</v>
      </c>
      <c r="G3" s="284" t="s">
        <v>733</v>
      </c>
    </row>
    <row r="4" spans="1:8" s="218" customFormat="1" ht="15" customHeight="1" thickBot="1" x14ac:dyDescent="0.25">
      <c r="A4" s="192" t="s">
        <v>446</v>
      </c>
      <c r="B4" s="193" t="s">
        <v>447</v>
      </c>
      <c r="C4" s="193" t="s">
        <v>448</v>
      </c>
      <c r="D4" s="193" t="s">
        <v>449</v>
      </c>
      <c r="E4" s="193" t="s">
        <v>734</v>
      </c>
      <c r="F4" s="193" t="s">
        <v>635</v>
      </c>
      <c r="G4" s="286" t="s">
        <v>636</v>
      </c>
    </row>
    <row r="5" spans="1:8" ht="15" customHeight="1" x14ac:dyDescent="0.2">
      <c r="A5" s="287" t="s">
        <v>228</v>
      </c>
      <c r="B5" s="288" t="s">
        <v>226</v>
      </c>
      <c r="C5" s="289">
        <v>1550858</v>
      </c>
      <c r="D5" s="289"/>
      <c r="E5" s="290">
        <f t="shared" ref="E5:E9" si="0">C5-D5</f>
        <v>1550858</v>
      </c>
      <c r="F5" s="290">
        <f t="shared" ref="F5:F9" si="1">D5+E5</f>
        <v>1550858</v>
      </c>
      <c r="G5" s="291"/>
    </row>
    <row r="6" spans="1:8" ht="15" customHeight="1" x14ac:dyDescent="0.2">
      <c r="A6" s="292" t="s">
        <v>234</v>
      </c>
      <c r="B6" s="293" t="s">
        <v>304</v>
      </c>
      <c r="C6" s="164">
        <v>1054835</v>
      </c>
      <c r="D6" s="164"/>
      <c r="E6" s="290">
        <f t="shared" si="0"/>
        <v>1054835</v>
      </c>
      <c r="F6" s="290">
        <f t="shared" si="1"/>
        <v>1054835</v>
      </c>
      <c r="G6" s="294"/>
    </row>
    <row r="7" spans="1:8" ht="25.9" customHeight="1" x14ac:dyDescent="0.2">
      <c r="A7" s="292" t="s">
        <v>235</v>
      </c>
      <c r="B7" s="293" t="s">
        <v>571</v>
      </c>
      <c r="C7" s="164">
        <v>435258</v>
      </c>
      <c r="D7" s="164"/>
      <c r="E7" s="290">
        <f t="shared" si="0"/>
        <v>435258</v>
      </c>
      <c r="F7" s="290">
        <f t="shared" si="1"/>
        <v>435258</v>
      </c>
      <c r="G7" s="294"/>
      <c r="H7" s="233"/>
    </row>
    <row r="8" spans="1:8" ht="24" customHeight="1" x14ac:dyDescent="0.2">
      <c r="A8" s="292" t="s">
        <v>236</v>
      </c>
      <c r="B8" s="293" t="s">
        <v>572</v>
      </c>
      <c r="C8" s="164">
        <v>13840612</v>
      </c>
      <c r="D8" s="164"/>
      <c r="E8" s="290">
        <f t="shared" si="0"/>
        <v>13840612</v>
      </c>
      <c r="F8" s="290">
        <f t="shared" si="1"/>
        <v>13840612</v>
      </c>
      <c r="G8" s="294"/>
      <c r="H8" s="233"/>
    </row>
    <row r="9" spans="1:8" x14ac:dyDescent="0.2">
      <c r="A9" s="292" t="s">
        <v>237</v>
      </c>
      <c r="B9" s="293" t="s">
        <v>193</v>
      </c>
      <c r="C9" s="164">
        <v>372804</v>
      </c>
      <c r="D9" s="164"/>
      <c r="E9" s="290">
        <f t="shared" si="0"/>
        <v>372804</v>
      </c>
      <c r="F9" s="290">
        <f t="shared" si="1"/>
        <v>372804</v>
      </c>
      <c r="G9" s="294"/>
    </row>
    <row r="10" spans="1:8" ht="15" customHeight="1" x14ac:dyDescent="0.2">
      <c r="A10" s="292" t="s">
        <v>240</v>
      </c>
      <c r="B10" s="293" t="s">
        <v>756</v>
      </c>
      <c r="C10" s="164">
        <v>921746</v>
      </c>
      <c r="D10" s="164"/>
      <c r="E10" s="290">
        <f t="shared" ref="E10:E11" si="2">C10-D10</f>
        <v>921746</v>
      </c>
      <c r="F10" s="290">
        <f t="shared" ref="F10" si="3">D10+E10</f>
        <v>921746</v>
      </c>
      <c r="G10" s="294"/>
    </row>
    <row r="11" spans="1:8" ht="15" customHeight="1" x14ac:dyDescent="0.2">
      <c r="A11" s="292" t="s">
        <v>241</v>
      </c>
      <c r="B11" s="293" t="s">
        <v>757</v>
      </c>
      <c r="C11" s="164">
        <v>349091822</v>
      </c>
      <c r="D11" s="164"/>
      <c r="E11" s="290">
        <f t="shared" si="2"/>
        <v>349091822</v>
      </c>
      <c r="F11" s="290">
        <f>+C11-G11</f>
        <v>120441832</v>
      </c>
      <c r="G11" s="294">
        <v>228649990</v>
      </c>
    </row>
    <row r="12" spans="1:8" ht="15" customHeight="1" x14ac:dyDescent="0.2">
      <c r="A12" s="292" t="s">
        <v>242</v>
      </c>
      <c r="B12" s="293"/>
      <c r="C12" s="164"/>
      <c r="D12" s="164"/>
      <c r="E12" s="290">
        <f>C12+D12</f>
        <v>0</v>
      </c>
      <c r="F12" s="290">
        <f>D12+E12</f>
        <v>0</v>
      </c>
      <c r="G12" s="294"/>
    </row>
    <row r="13" spans="1:8" ht="15" customHeight="1" x14ac:dyDescent="0.2">
      <c r="A13" s="292" t="s">
        <v>243</v>
      </c>
      <c r="B13" s="293"/>
      <c r="C13" s="164"/>
      <c r="D13" s="164"/>
      <c r="E13" s="290">
        <f t="shared" ref="E13:E29" si="4">C13+D13</f>
        <v>0</v>
      </c>
      <c r="F13" s="164"/>
      <c r="G13" s="294"/>
    </row>
    <row r="14" spans="1:8" ht="15" customHeight="1" x14ac:dyDescent="0.2">
      <c r="A14" s="292" t="s">
        <v>244</v>
      </c>
      <c r="B14" s="293"/>
      <c r="C14" s="164"/>
      <c r="D14" s="164"/>
      <c r="E14" s="290">
        <f t="shared" si="4"/>
        <v>0</v>
      </c>
      <c r="F14" s="164"/>
      <c r="G14" s="294"/>
    </row>
    <row r="15" spans="1:8" ht="15" customHeight="1" x14ac:dyDescent="0.2">
      <c r="A15" s="292" t="s">
        <v>245</v>
      </c>
      <c r="B15" s="293"/>
      <c r="C15" s="164"/>
      <c r="D15" s="164"/>
      <c r="E15" s="290">
        <f t="shared" si="4"/>
        <v>0</v>
      </c>
      <c r="F15" s="164"/>
      <c r="G15" s="294"/>
    </row>
    <row r="16" spans="1:8" ht="15" customHeight="1" x14ac:dyDescent="0.2">
      <c r="A16" s="292" t="s">
        <v>246</v>
      </c>
      <c r="B16" s="293"/>
      <c r="C16" s="164"/>
      <c r="D16" s="164"/>
      <c r="E16" s="290">
        <f t="shared" si="4"/>
        <v>0</v>
      </c>
      <c r="F16" s="164"/>
      <c r="G16" s="294"/>
    </row>
    <row r="17" spans="1:7" ht="15" customHeight="1" x14ac:dyDescent="0.2">
      <c r="A17" s="292" t="s">
        <v>247</v>
      </c>
      <c r="B17" s="293"/>
      <c r="C17" s="164"/>
      <c r="D17" s="164"/>
      <c r="E17" s="290">
        <f t="shared" si="4"/>
        <v>0</v>
      </c>
      <c r="F17" s="164"/>
      <c r="G17" s="294"/>
    </row>
    <row r="18" spans="1:7" ht="15" customHeight="1" x14ac:dyDescent="0.2">
      <c r="A18" s="292" t="s">
        <v>250</v>
      </c>
      <c r="B18" s="293"/>
      <c r="C18" s="164"/>
      <c r="D18" s="164"/>
      <c r="E18" s="290">
        <f t="shared" si="4"/>
        <v>0</v>
      </c>
      <c r="F18" s="164"/>
      <c r="G18" s="294"/>
    </row>
    <row r="19" spans="1:7" ht="15" customHeight="1" x14ac:dyDescent="0.2">
      <c r="A19" s="292" t="s">
        <v>251</v>
      </c>
      <c r="B19" s="293"/>
      <c r="C19" s="164"/>
      <c r="D19" s="164"/>
      <c r="E19" s="290">
        <f t="shared" si="4"/>
        <v>0</v>
      </c>
      <c r="F19" s="164"/>
      <c r="G19" s="294"/>
    </row>
    <row r="20" spans="1:7" ht="15" customHeight="1" x14ac:dyDescent="0.2">
      <c r="A20" s="292" t="s">
        <v>252</v>
      </c>
      <c r="B20" s="293"/>
      <c r="C20" s="164"/>
      <c r="D20" s="164"/>
      <c r="E20" s="290">
        <f t="shared" si="4"/>
        <v>0</v>
      </c>
      <c r="F20" s="164"/>
      <c r="G20" s="294"/>
    </row>
    <row r="21" spans="1:7" ht="15" customHeight="1" x14ac:dyDescent="0.2">
      <c r="A21" s="292" t="s">
        <v>253</v>
      </c>
      <c r="B21" s="293"/>
      <c r="C21" s="164"/>
      <c r="D21" s="164"/>
      <c r="E21" s="290">
        <f t="shared" si="4"/>
        <v>0</v>
      </c>
      <c r="F21" s="164"/>
      <c r="G21" s="294"/>
    </row>
    <row r="22" spans="1:7" ht="15" customHeight="1" x14ac:dyDescent="0.2">
      <c r="A22" s="292" t="s">
        <v>254</v>
      </c>
      <c r="B22" s="293"/>
      <c r="C22" s="164"/>
      <c r="D22" s="164"/>
      <c r="E22" s="290">
        <f t="shared" si="4"/>
        <v>0</v>
      </c>
      <c r="F22" s="164"/>
      <c r="G22" s="294"/>
    </row>
    <row r="23" spans="1:7" ht="15" customHeight="1" x14ac:dyDescent="0.2">
      <c r="A23" s="292" t="s">
        <v>255</v>
      </c>
      <c r="B23" s="293"/>
      <c r="C23" s="164"/>
      <c r="D23" s="164"/>
      <c r="E23" s="290">
        <f t="shared" si="4"/>
        <v>0</v>
      </c>
      <c r="F23" s="164"/>
      <c r="G23" s="294"/>
    </row>
    <row r="24" spans="1:7" ht="15" customHeight="1" x14ac:dyDescent="0.2">
      <c r="A24" s="292" t="s">
        <v>256</v>
      </c>
      <c r="B24" s="293"/>
      <c r="C24" s="164"/>
      <c r="D24" s="164"/>
      <c r="E24" s="290">
        <f t="shared" si="4"/>
        <v>0</v>
      </c>
      <c r="F24" s="164"/>
      <c r="G24" s="294"/>
    </row>
    <row r="25" spans="1:7" ht="15" customHeight="1" x14ac:dyDescent="0.2">
      <c r="A25" s="292" t="s">
        <v>257</v>
      </c>
      <c r="B25" s="293"/>
      <c r="C25" s="164"/>
      <c r="D25" s="164"/>
      <c r="E25" s="290">
        <f t="shared" si="4"/>
        <v>0</v>
      </c>
      <c r="F25" s="164"/>
      <c r="G25" s="294"/>
    </row>
    <row r="26" spans="1:7" ht="15" customHeight="1" x14ac:dyDescent="0.2">
      <c r="A26" s="292" t="s">
        <v>258</v>
      </c>
      <c r="B26" s="293"/>
      <c r="C26" s="164"/>
      <c r="D26" s="164"/>
      <c r="E26" s="290">
        <f t="shared" si="4"/>
        <v>0</v>
      </c>
      <c r="F26" s="164"/>
      <c r="G26" s="294"/>
    </row>
    <row r="27" spans="1:7" ht="15" customHeight="1" x14ac:dyDescent="0.2">
      <c r="A27" s="292" t="s">
        <v>259</v>
      </c>
      <c r="B27" s="293"/>
      <c r="C27" s="164"/>
      <c r="D27" s="164"/>
      <c r="E27" s="290">
        <f t="shared" si="4"/>
        <v>0</v>
      </c>
      <c r="F27" s="164"/>
      <c r="G27" s="294"/>
    </row>
    <row r="28" spans="1:7" ht="15" customHeight="1" x14ac:dyDescent="0.2">
      <c r="A28" s="292" t="s">
        <v>260</v>
      </c>
      <c r="B28" s="293"/>
      <c r="C28" s="164"/>
      <c r="D28" s="164"/>
      <c r="E28" s="290">
        <f t="shared" si="4"/>
        <v>0</v>
      </c>
      <c r="F28" s="164"/>
      <c r="G28" s="294"/>
    </row>
    <row r="29" spans="1:7" ht="15" customHeight="1" x14ac:dyDescent="0.2">
      <c r="A29" s="292" t="s">
        <v>261</v>
      </c>
      <c r="B29" s="293"/>
      <c r="C29" s="164"/>
      <c r="D29" s="164"/>
      <c r="E29" s="290">
        <f t="shared" si="4"/>
        <v>0</v>
      </c>
      <c r="F29" s="164"/>
      <c r="G29" s="294"/>
    </row>
    <row r="30" spans="1:7" ht="15" customHeight="1" x14ac:dyDescent="0.2">
      <c r="A30" s="292" t="s">
        <v>262</v>
      </c>
      <c r="B30" s="293"/>
      <c r="C30" s="164"/>
      <c r="D30" s="164"/>
      <c r="E30" s="290"/>
      <c r="F30" s="164"/>
      <c r="G30" s="294"/>
    </row>
    <row r="31" spans="1:7" ht="15" customHeight="1" x14ac:dyDescent="0.2">
      <c r="A31" s="292" t="s">
        <v>263</v>
      </c>
      <c r="B31" s="293"/>
      <c r="C31" s="164"/>
      <c r="D31" s="164"/>
      <c r="E31" s="290">
        <f>C31+D31</f>
        <v>0</v>
      </c>
      <c r="F31" s="164"/>
      <c r="G31" s="294"/>
    </row>
    <row r="32" spans="1:7" ht="15" customHeight="1" x14ac:dyDescent="0.2">
      <c r="A32" s="292" t="s">
        <v>264</v>
      </c>
      <c r="B32" s="293"/>
      <c r="C32" s="164"/>
      <c r="D32" s="164"/>
      <c r="E32" s="290">
        <f>C32+D32</f>
        <v>0</v>
      </c>
      <c r="F32" s="164"/>
      <c r="G32" s="294"/>
    </row>
    <row r="33" spans="1:7" ht="15" customHeight="1" x14ac:dyDescent="0.2">
      <c r="A33" s="292" t="s">
        <v>265</v>
      </c>
      <c r="B33" s="293"/>
      <c r="C33" s="164"/>
      <c r="D33" s="164"/>
      <c r="E33" s="290">
        <f>C33+D33</f>
        <v>0</v>
      </c>
      <c r="F33" s="164"/>
      <c r="G33" s="294"/>
    </row>
    <row r="34" spans="1:7" ht="15" customHeight="1" x14ac:dyDescent="0.2">
      <c r="A34" s="292" t="s">
        <v>266</v>
      </c>
      <c r="B34" s="293"/>
      <c r="C34" s="164"/>
      <c r="D34" s="164"/>
      <c r="E34" s="290">
        <f>C34+D34</f>
        <v>0</v>
      </c>
      <c r="F34" s="164"/>
      <c r="G34" s="294"/>
    </row>
    <row r="35" spans="1:7" ht="15" customHeight="1" thickBot="1" x14ac:dyDescent="0.25">
      <c r="A35" s="292" t="s">
        <v>267</v>
      </c>
      <c r="B35" s="295"/>
      <c r="C35" s="166"/>
      <c r="D35" s="166"/>
      <c r="E35" s="290">
        <f>C35+D35</f>
        <v>0</v>
      </c>
      <c r="F35" s="166"/>
      <c r="G35" s="296"/>
    </row>
    <row r="36" spans="1:7" ht="15" customHeight="1" thickBot="1" x14ac:dyDescent="0.25">
      <c r="A36" s="1213" t="s">
        <v>224</v>
      </c>
      <c r="B36" s="1214"/>
      <c r="C36" s="168">
        <f>SUM(C5:C35)</f>
        <v>367267935</v>
      </c>
      <c r="D36" s="168">
        <f>SUM(D5:D35)</f>
        <v>0</v>
      </c>
      <c r="E36" s="168">
        <f>SUM(E5:E35)</f>
        <v>367267935</v>
      </c>
      <c r="F36" s="168">
        <f>SUM(F5:F35)</f>
        <v>138617945</v>
      </c>
      <c r="G36" s="170">
        <f>SUM(G5:G35)</f>
        <v>228649990</v>
      </c>
    </row>
    <row r="38" spans="1:7" x14ac:dyDescent="0.2">
      <c r="C38" s="233"/>
    </row>
  </sheetData>
  <mergeCells count="6">
    <mergeCell ref="E2:G2"/>
    <mergeCell ref="A36:B36"/>
    <mergeCell ref="A2:A3"/>
    <mergeCell ref="B2:B3"/>
    <mergeCell ref="C2:C3"/>
    <mergeCell ref="D2:D3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orientation="portrait" verticalDpi="300" r:id="rId1"/>
  <headerFooter alignWithMargins="0">
    <oddHeader xml:space="preserve">&amp;C&amp;"Times New Roman CE,Félkövér"&amp;12
KÖLTSÉGVETÉSI SZERVEK MARADVÁNYÁNAK ALAKULÁSA&amp;R&amp;"Times New Roman CE,Félkövér dőlt"&amp;12 8. melléklet a ../.....(....)  önkormányzati rendelethez&amp;"Times New Roman CE,Dőlt"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2"/>
  <sheetViews>
    <sheetView view="pageLayout" topLeftCell="A22" zoomScaleNormal="100" workbookViewId="0">
      <selection activeCell="G3" sqref="G3"/>
    </sheetView>
  </sheetViews>
  <sheetFormatPr defaultColWidth="8" defaultRowHeight="12.75" x14ac:dyDescent="0.2"/>
  <cols>
    <col min="1" max="1" width="5.85546875" style="172" customWidth="1"/>
    <col min="2" max="2" width="27.7109375" style="156" customWidth="1"/>
    <col min="3" max="4" width="14.5703125" style="156" customWidth="1"/>
    <col min="5" max="5" width="13.5703125" style="156" customWidth="1"/>
    <col min="6" max="6" width="12.85546875" style="156" customWidth="1"/>
    <col min="7" max="7" width="12.140625" style="156" customWidth="1"/>
    <col min="8" max="8" width="13.140625" style="156" customWidth="1"/>
    <col min="9" max="9" width="12.28515625" style="156" customWidth="1"/>
    <col min="10" max="10" width="15.7109375" style="156" customWidth="1"/>
    <col min="11" max="11" width="11.7109375" style="156" customWidth="1"/>
    <col min="12" max="256" width="8" style="156"/>
    <col min="257" max="257" width="5.85546875" style="156" customWidth="1"/>
    <col min="258" max="258" width="27.7109375" style="156" customWidth="1"/>
    <col min="259" max="260" width="14.5703125" style="156" customWidth="1"/>
    <col min="261" max="261" width="13.5703125" style="156" customWidth="1"/>
    <col min="262" max="262" width="12.85546875" style="156" customWidth="1"/>
    <col min="263" max="263" width="12.140625" style="156" customWidth="1"/>
    <col min="264" max="264" width="13.140625" style="156" customWidth="1"/>
    <col min="265" max="265" width="12.28515625" style="156" customWidth="1"/>
    <col min="266" max="266" width="15.7109375" style="156" customWidth="1"/>
    <col min="267" max="267" width="11.7109375" style="156" customWidth="1"/>
    <col min="268" max="512" width="8" style="156"/>
    <col min="513" max="513" width="5.85546875" style="156" customWidth="1"/>
    <col min="514" max="514" width="27.7109375" style="156" customWidth="1"/>
    <col min="515" max="516" width="14.5703125" style="156" customWidth="1"/>
    <col min="517" max="517" width="13.5703125" style="156" customWidth="1"/>
    <col min="518" max="518" width="12.85546875" style="156" customWidth="1"/>
    <col min="519" max="519" width="12.140625" style="156" customWidth="1"/>
    <col min="520" max="520" width="13.140625" style="156" customWidth="1"/>
    <col min="521" max="521" width="12.28515625" style="156" customWidth="1"/>
    <col min="522" max="522" width="15.7109375" style="156" customWidth="1"/>
    <col min="523" max="523" width="11.7109375" style="156" customWidth="1"/>
    <col min="524" max="768" width="8" style="156"/>
    <col min="769" max="769" width="5.85546875" style="156" customWidth="1"/>
    <col min="770" max="770" width="27.7109375" style="156" customWidth="1"/>
    <col min="771" max="772" width="14.5703125" style="156" customWidth="1"/>
    <col min="773" max="773" width="13.5703125" style="156" customWidth="1"/>
    <col min="774" max="774" width="12.85546875" style="156" customWidth="1"/>
    <col min="775" max="775" width="12.140625" style="156" customWidth="1"/>
    <col min="776" max="776" width="13.140625" style="156" customWidth="1"/>
    <col min="777" max="777" width="12.28515625" style="156" customWidth="1"/>
    <col min="778" max="778" width="15.7109375" style="156" customWidth="1"/>
    <col min="779" max="779" width="11.7109375" style="156" customWidth="1"/>
    <col min="780" max="1024" width="8" style="156"/>
    <col min="1025" max="1025" width="5.85546875" style="156" customWidth="1"/>
    <col min="1026" max="1026" width="27.7109375" style="156" customWidth="1"/>
    <col min="1027" max="1028" width="14.5703125" style="156" customWidth="1"/>
    <col min="1029" max="1029" width="13.5703125" style="156" customWidth="1"/>
    <col min="1030" max="1030" width="12.85546875" style="156" customWidth="1"/>
    <col min="1031" max="1031" width="12.140625" style="156" customWidth="1"/>
    <col min="1032" max="1032" width="13.140625" style="156" customWidth="1"/>
    <col min="1033" max="1033" width="12.28515625" style="156" customWidth="1"/>
    <col min="1034" max="1034" width="15.7109375" style="156" customWidth="1"/>
    <col min="1035" max="1035" width="11.7109375" style="156" customWidth="1"/>
    <col min="1036" max="1280" width="8" style="156"/>
    <col min="1281" max="1281" width="5.85546875" style="156" customWidth="1"/>
    <col min="1282" max="1282" width="27.7109375" style="156" customWidth="1"/>
    <col min="1283" max="1284" width="14.5703125" style="156" customWidth="1"/>
    <col min="1285" max="1285" width="13.5703125" style="156" customWidth="1"/>
    <col min="1286" max="1286" width="12.85546875" style="156" customWidth="1"/>
    <col min="1287" max="1287" width="12.140625" style="156" customWidth="1"/>
    <col min="1288" max="1288" width="13.140625" style="156" customWidth="1"/>
    <col min="1289" max="1289" width="12.28515625" style="156" customWidth="1"/>
    <col min="1290" max="1290" width="15.7109375" style="156" customWidth="1"/>
    <col min="1291" max="1291" width="11.7109375" style="156" customWidth="1"/>
    <col min="1292" max="1536" width="8" style="156"/>
    <col min="1537" max="1537" width="5.85546875" style="156" customWidth="1"/>
    <col min="1538" max="1538" width="27.7109375" style="156" customWidth="1"/>
    <col min="1539" max="1540" width="14.5703125" style="156" customWidth="1"/>
    <col min="1541" max="1541" width="13.5703125" style="156" customWidth="1"/>
    <col min="1542" max="1542" width="12.85546875" style="156" customWidth="1"/>
    <col min="1543" max="1543" width="12.140625" style="156" customWidth="1"/>
    <col min="1544" max="1544" width="13.140625" style="156" customWidth="1"/>
    <col min="1545" max="1545" width="12.28515625" style="156" customWidth="1"/>
    <col min="1546" max="1546" width="15.7109375" style="156" customWidth="1"/>
    <col min="1547" max="1547" width="11.7109375" style="156" customWidth="1"/>
    <col min="1548" max="1792" width="8" style="156"/>
    <col min="1793" max="1793" width="5.85546875" style="156" customWidth="1"/>
    <col min="1794" max="1794" width="27.7109375" style="156" customWidth="1"/>
    <col min="1795" max="1796" width="14.5703125" style="156" customWidth="1"/>
    <col min="1797" max="1797" width="13.5703125" style="156" customWidth="1"/>
    <col min="1798" max="1798" width="12.85546875" style="156" customWidth="1"/>
    <col min="1799" max="1799" width="12.140625" style="156" customWidth="1"/>
    <col min="1800" max="1800" width="13.140625" style="156" customWidth="1"/>
    <col min="1801" max="1801" width="12.28515625" style="156" customWidth="1"/>
    <col min="1802" max="1802" width="15.7109375" style="156" customWidth="1"/>
    <col min="1803" max="1803" width="11.7109375" style="156" customWidth="1"/>
    <col min="1804" max="2048" width="8" style="156"/>
    <col min="2049" max="2049" width="5.85546875" style="156" customWidth="1"/>
    <col min="2050" max="2050" width="27.7109375" style="156" customWidth="1"/>
    <col min="2051" max="2052" width="14.5703125" style="156" customWidth="1"/>
    <col min="2053" max="2053" width="13.5703125" style="156" customWidth="1"/>
    <col min="2054" max="2054" width="12.85546875" style="156" customWidth="1"/>
    <col min="2055" max="2055" width="12.140625" style="156" customWidth="1"/>
    <col min="2056" max="2056" width="13.140625" style="156" customWidth="1"/>
    <col min="2057" max="2057" width="12.28515625" style="156" customWidth="1"/>
    <col min="2058" max="2058" width="15.7109375" style="156" customWidth="1"/>
    <col min="2059" max="2059" width="11.7109375" style="156" customWidth="1"/>
    <col min="2060" max="2304" width="8" style="156"/>
    <col min="2305" max="2305" width="5.85546875" style="156" customWidth="1"/>
    <col min="2306" max="2306" width="27.7109375" style="156" customWidth="1"/>
    <col min="2307" max="2308" width="14.5703125" style="156" customWidth="1"/>
    <col min="2309" max="2309" width="13.5703125" style="156" customWidth="1"/>
    <col min="2310" max="2310" width="12.85546875" style="156" customWidth="1"/>
    <col min="2311" max="2311" width="12.140625" style="156" customWidth="1"/>
    <col min="2312" max="2312" width="13.140625" style="156" customWidth="1"/>
    <col min="2313" max="2313" width="12.28515625" style="156" customWidth="1"/>
    <col min="2314" max="2314" width="15.7109375" style="156" customWidth="1"/>
    <col min="2315" max="2315" width="11.7109375" style="156" customWidth="1"/>
    <col min="2316" max="2560" width="8" style="156"/>
    <col min="2561" max="2561" width="5.85546875" style="156" customWidth="1"/>
    <col min="2562" max="2562" width="27.7109375" style="156" customWidth="1"/>
    <col min="2563" max="2564" width="14.5703125" style="156" customWidth="1"/>
    <col min="2565" max="2565" width="13.5703125" style="156" customWidth="1"/>
    <col min="2566" max="2566" width="12.85546875" style="156" customWidth="1"/>
    <col min="2567" max="2567" width="12.140625" style="156" customWidth="1"/>
    <col min="2568" max="2568" width="13.140625" style="156" customWidth="1"/>
    <col min="2569" max="2569" width="12.28515625" style="156" customWidth="1"/>
    <col min="2570" max="2570" width="15.7109375" style="156" customWidth="1"/>
    <col min="2571" max="2571" width="11.7109375" style="156" customWidth="1"/>
    <col min="2572" max="2816" width="8" style="156"/>
    <col min="2817" max="2817" width="5.85546875" style="156" customWidth="1"/>
    <col min="2818" max="2818" width="27.7109375" style="156" customWidth="1"/>
    <col min="2819" max="2820" width="14.5703125" style="156" customWidth="1"/>
    <col min="2821" max="2821" width="13.5703125" style="156" customWidth="1"/>
    <col min="2822" max="2822" width="12.85546875" style="156" customWidth="1"/>
    <col min="2823" max="2823" width="12.140625" style="156" customWidth="1"/>
    <col min="2824" max="2824" width="13.140625" style="156" customWidth="1"/>
    <col min="2825" max="2825" width="12.28515625" style="156" customWidth="1"/>
    <col min="2826" max="2826" width="15.7109375" style="156" customWidth="1"/>
    <col min="2827" max="2827" width="11.7109375" style="156" customWidth="1"/>
    <col min="2828" max="3072" width="8" style="156"/>
    <col min="3073" max="3073" width="5.85546875" style="156" customWidth="1"/>
    <col min="3074" max="3074" width="27.7109375" style="156" customWidth="1"/>
    <col min="3075" max="3076" width="14.5703125" style="156" customWidth="1"/>
    <col min="3077" max="3077" width="13.5703125" style="156" customWidth="1"/>
    <col min="3078" max="3078" width="12.85546875" style="156" customWidth="1"/>
    <col min="3079" max="3079" width="12.140625" style="156" customWidth="1"/>
    <col min="3080" max="3080" width="13.140625" style="156" customWidth="1"/>
    <col min="3081" max="3081" width="12.28515625" style="156" customWidth="1"/>
    <col min="3082" max="3082" width="15.7109375" style="156" customWidth="1"/>
    <col min="3083" max="3083" width="11.7109375" style="156" customWidth="1"/>
    <col min="3084" max="3328" width="8" style="156"/>
    <col min="3329" max="3329" width="5.85546875" style="156" customWidth="1"/>
    <col min="3330" max="3330" width="27.7109375" style="156" customWidth="1"/>
    <col min="3331" max="3332" width="14.5703125" style="156" customWidth="1"/>
    <col min="3333" max="3333" width="13.5703125" style="156" customWidth="1"/>
    <col min="3334" max="3334" width="12.85546875" style="156" customWidth="1"/>
    <col min="3335" max="3335" width="12.140625" style="156" customWidth="1"/>
    <col min="3336" max="3336" width="13.140625" style="156" customWidth="1"/>
    <col min="3337" max="3337" width="12.28515625" style="156" customWidth="1"/>
    <col min="3338" max="3338" width="15.7109375" style="156" customWidth="1"/>
    <col min="3339" max="3339" width="11.7109375" style="156" customWidth="1"/>
    <col min="3340" max="3584" width="8" style="156"/>
    <col min="3585" max="3585" width="5.85546875" style="156" customWidth="1"/>
    <col min="3586" max="3586" width="27.7109375" style="156" customWidth="1"/>
    <col min="3587" max="3588" width="14.5703125" style="156" customWidth="1"/>
    <col min="3589" max="3589" width="13.5703125" style="156" customWidth="1"/>
    <col min="3590" max="3590" width="12.85546875" style="156" customWidth="1"/>
    <col min="3591" max="3591" width="12.140625" style="156" customWidth="1"/>
    <col min="3592" max="3592" width="13.140625" style="156" customWidth="1"/>
    <col min="3593" max="3593" width="12.28515625" style="156" customWidth="1"/>
    <col min="3594" max="3594" width="15.7109375" style="156" customWidth="1"/>
    <col min="3595" max="3595" width="11.7109375" style="156" customWidth="1"/>
    <col min="3596" max="3840" width="8" style="156"/>
    <col min="3841" max="3841" width="5.85546875" style="156" customWidth="1"/>
    <col min="3842" max="3842" width="27.7109375" style="156" customWidth="1"/>
    <col min="3843" max="3844" width="14.5703125" style="156" customWidth="1"/>
    <col min="3845" max="3845" width="13.5703125" style="156" customWidth="1"/>
    <col min="3846" max="3846" width="12.85546875" style="156" customWidth="1"/>
    <col min="3847" max="3847" width="12.140625" style="156" customWidth="1"/>
    <col min="3848" max="3848" width="13.140625" style="156" customWidth="1"/>
    <col min="3849" max="3849" width="12.28515625" style="156" customWidth="1"/>
    <col min="3850" max="3850" width="15.7109375" style="156" customWidth="1"/>
    <col min="3851" max="3851" width="11.7109375" style="156" customWidth="1"/>
    <col min="3852" max="4096" width="8" style="156"/>
    <col min="4097" max="4097" width="5.85546875" style="156" customWidth="1"/>
    <col min="4098" max="4098" width="27.7109375" style="156" customWidth="1"/>
    <col min="4099" max="4100" width="14.5703125" style="156" customWidth="1"/>
    <col min="4101" max="4101" width="13.5703125" style="156" customWidth="1"/>
    <col min="4102" max="4102" width="12.85546875" style="156" customWidth="1"/>
    <col min="4103" max="4103" width="12.140625" style="156" customWidth="1"/>
    <col min="4104" max="4104" width="13.140625" style="156" customWidth="1"/>
    <col min="4105" max="4105" width="12.28515625" style="156" customWidth="1"/>
    <col min="4106" max="4106" width="15.7109375" style="156" customWidth="1"/>
    <col min="4107" max="4107" width="11.7109375" style="156" customWidth="1"/>
    <col min="4108" max="4352" width="8" style="156"/>
    <col min="4353" max="4353" width="5.85546875" style="156" customWidth="1"/>
    <col min="4354" max="4354" width="27.7109375" style="156" customWidth="1"/>
    <col min="4355" max="4356" width="14.5703125" style="156" customWidth="1"/>
    <col min="4357" max="4357" width="13.5703125" style="156" customWidth="1"/>
    <col min="4358" max="4358" width="12.85546875" style="156" customWidth="1"/>
    <col min="4359" max="4359" width="12.140625" style="156" customWidth="1"/>
    <col min="4360" max="4360" width="13.140625" style="156" customWidth="1"/>
    <col min="4361" max="4361" width="12.28515625" style="156" customWidth="1"/>
    <col min="4362" max="4362" width="15.7109375" style="156" customWidth="1"/>
    <col min="4363" max="4363" width="11.7109375" style="156" customWidth="1"/>
    <col min="4364" max="4608" width="8" style="156"/>
    <col min="4609" max="4609" width="5.85546875" style="156" customWidth="1"/>
    <col min="4610" max="4610" width="27.7109375" style="156" customWidth="1"/>
    <col min="4611" max="4612" width="14.5703125" style="156" customWidth="1"/>
    <col min="4613" max="4613" width="13.5703125" style="156" customWidth="1"/>
    <col min="4614" max="4614" width="12.85546875" style="156" customWidth="1"/>
    <col min="4615" max="4615" width="12.140625" style="156" customWidth="1"/>
    <col min="4616" max="4616" width="13.140625" style="156" customWidth="1"/>
    <col min="4617" max="4617" width="12.28515625" style="156" customWidth="1"/>
    <col min="4618" max="4618" width="15.7109375" style="156" customWidth="1"/>
    <col min="4619" max="4619" width="11.7109375" style="156" customWidth="1"/>
    <col min="4620" max="4864" width="8" style="156"/>
    <col min="4865" max="4865" width="5.85546875" style="156" customWidth="1"/>
    <col min="4866" max="4866" width="27.7109375" style="156" customWidth="1"/>
    <col min="4867" max="4868" width="14.5703125" style="156" customWidth="1"/>
    <col min="4869" max="4869" width="13.5703125" style="156" customWidth="1"/>
    <col min="4870" max="4870" width="12.85546875" style="156" customWidth="1"/>
    <col min="4871" max="4871" width="12.140625" style="156" customWidth="1"/>
    <col min="4872" max="4872" width="13.140625" style="156" customWidth="1"/>
    <col min="4873" max="4873" width="12.28515625" style="156" customWidth="1"/>
    <col min="4874" max="4874" width="15.7109375" style="156" customWidth="1"/>
    <col min="4875" max="4875" width="11.7109375" style="156" customWidth="1"/>
    <col min="4876" max="5120" width="8" style="156"/>
    <col min="5121" max="5121" width="5.85546875" style="156" customWidth="1"/>
    <col min="5122" max="5122" width="27.7109375" style="156" customWidth="1"/>
    <col min="5123" max="5124" width="14.5703125" style="156" customWidth="1"/>
    <col min="5125" max="5125" width="13.5703125" style="156" customWidth="1"/>
    <col min="5126" max="5126" width="12.85546875" style="156" customWidth="1"/>
    <col min="5127" max="5127" width="12.140625" style="156" customWidth="1"/>
    <col min="5128" max="5128" width="13.140625" style="156" customWidth="1"/>
    <col min="5129" max="5129" width="12.28515625" style="156" customWidth="1"/>
    <col min="5130" max="5130" width="15.7109375" style="156" customWidth="1"/>
    <col min="5131" max="5131" width="11.7109375" style="156" customWidth="1"/>
    <col min="5132" max="5376" width="8" style="156"/>
    <col min="5377" max="5377" width="5.85546875" style="156" customWidth="1"/>
    <col min="5378" max="5378" width="27.7109375" style="156" customWidth="1"/>
    <col min="5379" max="5380" width="14.5703125" style="156" customWidth="1"/>
    <col min="5381" max="5381" width="13.5703125" style="156" customWidth="1"/>
    <col min="5382" max="5382" width="12.85546875" style="156" customWidth="1"/>
    <col min="5383" max="5383" width="12.140625" style="156" customWidth="1"/>
    <col min="5384" max="5384" width="13.140625" style="156" customWidth="1"/>
    <col min="5385" max="5385" width="12.28515625" style="156" customWidth="1"/>
    <col min="5386" max="5386" width="15.7109375" style="156" customWidth="1"/>
    <col min="5387" max="5387" width="11.7109375" style="156" customWidth="1"/>
    <col min="5388" max="5632" width="8" style="156"/>
    <col min="5633" max="5633" width="5.85546875" style="156" customWidth="1"/>
    <col min="5634" max="5634" width="27.7109375" style="156" customWidth="1"/>
    <col min="5635" max="5636" width="14.5703125" style="156" customWidth="1"/>
    <col min="5637" max="5637" width="13.5703125" style="156" customWidth="1"/>
    <col min="5638" max="5638" width="12.85546875" style="156" customWidth="1"/>
    <col min="5639" max="5639" width="12.140625" style="156" customWidth="1"/>
    <col min="5640" max="5640" width="13.140625" style="156" customWidth="1"/>
    <col min="5641" max="5641" width="12.28515625" style="156" customWidth="1"/>
    <col min="5642" max="5642" width="15.7109375" style="156" customWidth="1"/>
    <col min="5643" max="5643" width="11.7109375" style="156" customWidth="1"/>
    <col min="5644" max="5888" width="8" style="156"/>
    <col min="5889" max="5889" width="5.85546875" style="156" customWidth="1"/>
    <col min="5890" max="5890" width="27.7109375" style="156" customWidth="1"/>
    <col min="5891" max="5892" width="14.5703125" style="156" customWidth="1"/>
    <col min="5893" max="5893" width="13.5703125" style="156" customWidth="1"/>
    <col min="5894" max="5894" width="12.85546875" style="156" customWidth="1"/>
    <col min="5895" max="5895" width="12.140625" style="156" customWidth="1"/>
    <col min="5896" max="5896" width="13.140625" style="156" customWidth="1"/>
    <col min="5897" max="5897" width="12.28515625" style="156" customWidth="1"/>
    <col min="5898" max="5898" width="15.7109375" style="156" customWidth="1"/>
    <col min="5899" max="5899" width="11.7109375" style="156" customWidth="1"/>
    <col min="5900" max="6144" width="8" style="156"/>
    <col min="6145" max="6145" width="5.85546875" style="156" customWidth="1"/>
    <col min="6146" max="6146" width="27.7109375" style="156" customWidth="1"/>
    <col min="6147" max="6148" width="14.5703125" style="156" customWidth="1"/>
    <col min="6149" max="6149" width="13.5703125" style="156" customWidth="1"/>
    <col min="6150" max="6150" width="12.85546875" style="156" customWidth="1"/>
    <col min="6151" max="6151" width="12.140625" style="156" customWidth="1"/>
    <col min="6152" max="6152" width="13.140625" style="156" customWidth="1"/>
    <col min="6153" max="6153" width="12.28515625" style="156" customWidth="1"/>
    <col min="6154" max="6154" width="15.7109375" style="156" customWidth="1"/>
    <col min="6155" max="6155" width="11.7109375" style="156" customWidth="1"/>
    <col min="6156" max="6400" width="8" style="156"/>
    <col min="6401" max="6401" width="5.85546875" style="156" customWidth="1"/>
    <col min="6402" max="6402" width="27.7109375" style="156" customWidth="1"/>
    <col min="6403" max="6404" width="14.5703125" style="156" customWidth="1"/>
    <col min="6405" max="6405" width="13.5703125" style="156" customWidth="1"/>
    <col min="6406" max="6406" width="12.85546875" style="156" customWidth="1"/>
    <col min="6407" max="6407" width="12.140625" style="156" customWidth="1"/>
    <col min="6408" max="6408" width="13.140625" style="156" customWidth="1"/>
    <col min="6409" max="6409" width="12.28515625" style="156" customWidth="1"/>
    <col min="6410" max="6410" width="15.7109375" style="156" customWidth="1"/>
    <col min="6411" max="6411" width="11.7109375" style="156" customWidth="1"/>
    <col min="6412" max="6656" width="8" style="156"/>
    <col min="6657" max="6657" width="5.85546875" style="156" customWidth="1"/>
    <col min="6658" max="6658" width="27.7109375" style="156" customWidth="1"/>
    <col min="6659" max="6660" width="14.5703125" style="156" customWidth="1"/>
    <col min="6661" max="6661" width="13.5703125" style="156" customWidth="1"/>
    <col min="6662" max="6662" width="12.85546875" style="156" customWidth="1"/>
    <col min="6663" max="6663" width="12.140625" style="156" customWidth="1"/>
    <col min="6664" max="6664" width="13.140625" style="156" customWidth="1"/>
    <col min="6665" max="6665" width="12.28515625" style="156" customWidth="1"/>
    <col min="6666" max="6666" width="15.7109375" style="156" customWidth="1"/>
    <col min="6667" max="6667" width="11.7109375" style="156" customWidth="1"/>
    <col min="6668" max="6912" width="8" style="156"/>
    <col min="6913" max="6913" width="5.85546875" style="156" customWidth="1"/>
    <col min="6914" max="6914" width="27.7109375" style="156" customWidth="1"/>
    <col min="6915" max="6916" width="14.5703125" style="156" customWidth="1"/>
    <col min="6917" max="6917" width="13.5703125" style="156" customWidth="1"/>
    <col min="6918" max="6918" width="12.85546875" style="156" customWidth="1"/>
    <col min="6919" max="6919" width="12.140625" style="156" customWidth="1"/>
    <col min="6920" max="6920" width="13.140625" style="156" customWidth="1"/>
    <col min="6921" max="6921" width="12.28515625" style="156" customWidth="1"/>
    <col min="6922" max="6922" width="15.7109375" style="156" customWidth="1"/>
    <col min="6923" max="6923" width="11.7109375" style="156" customWidth="1"/>
    <col min="6924" max="7168" width="8" style="156"/>
    <col min="7169" max="7169" width="5.85546875" style="156" customWidth="1"/>
    <col min="7170" max="7170" width="27.7109375" style="156" customWidth="1"/>
    <col min="7171" max="7172" width="14.5703125" style="156" customWidth="1"/>
    <col min="7173" max="7173" width="13.5703125" style="156" customWidth="1"/>
    <col min="7174" max="7174" width="12.85546875" style="156" customWidth="1"/>
    <col min="7175" max="7175" width="12.140625" style="156" customWidth="1"/>
    <col min="7176" max="7176" width="13.140625" style="156" customWidth="1"/>
    <col min="7177" max="7177" width="12.28515625" style="156" customWidth="1"/>
    <col min="7178" max="7178" width="15.7109375" style="156" customWidth="1"/>
    <col min="7179" max="7179" width="11.7109375" style="156" customWidth="1"/>
    <col min="7180" max="7424" width="8" style="156"/>
    <col min="7425" max="7425" width="5.85546875" style="156" customWidth="1"/>
    <col min="7426" max="7426" width="27.7109375" style="156" customWidth="1"/>
    <col min="7427" max="7428" width="14.5703125" style="156" customWidth="1"/>
    <col min="7429" max="7429" width="13.5703125" style="156" customWidth="1"/>
    <col min="7430" max="7430" width="12.85546875" style="156" customWidth="1"/>
    <col min="7431" max="7431" width="12.140625" style="156" customWidth="1"/>
    <col min="7432" max="7432" width="13.140625" style="156" customWidth="1"/>
    <col min="7433" max="7433" width="12.28515625" style="156" customWidth="1"/>
    <col min="7434" max="7434" width="15.7109375" style="156" customWidth="1"/>
    <col min="7435" max="7435" width="11.7109375" style="156" customWidth="1"/>
    <col min="7436" max="7680" width="8" style="156"/>
    <col min="7681" max="7681" width="5.85546875" style="156" customWidth="1"/>
    <col min="7682" max="7682" width="27.7109375" style="156" customWidth="1"/>
    <col min="7683" max="7684" width="14.5703125" style="156" customWidth="1"/>
    <col min="7685" max="7685" width="13.5703125" style="156" customWidth="1"/>
    <col min="7686" max="7686" width="12.85546875" style="156" customWidth="1"/>
    <col min="7687" max="7687" width="12.140625" style="156" customWidth="1"/>
    <col min="7688" max="7688" width="13.140625" style="156" customWidth="1"/>
    <col min="7689" max="7689" width="12.28515625" style="156" customWidth="1"/>
    <col min="7690" max="7690" width="15.7109375" style="156" customWidth="1"/>
    <col min="7691" max="7691" width="11.7109375" style="156" customWidth="1"/>
    <col min="7692" max="7936" width="8" style="156"/>
    <col min="7937" max="7937" width="5.85546875" style="156" customWidth="1"/>
    <col min="7938" max="7938" width="27.7109375" style="156" customWidth="1"/>
    <col min="7939" max="7940" width="14.5703125" style="156" customWidth="1"/>
    <col min="7941" max="7941" width="13.5703125" style="156" customWidth="1"/>
    <col min="7942" max="7942" width="12.85546875" style="156" customWidth="1"/>
    <col min="7943" max="7943" width="12.140625" style="156" customWidth="1"/>
    <col min="7944" max="7944" width="13.140625" style="156" customWidth="1"/>
    <col min="7945" max="7945" width="12.28515625" style="156" customWidth="1"/>
    <col min="7946" max="7946" width="15.7109375" style="156" customWidth="1"/>
    <col min="7947" max="7947" width="11.7109375" style="156" customWidth="1"/>
    <col min="7948" max="8192" width="8" style="156"/>
    <col min="8193" max="8193" width="5.85546875" style="156" customWidth="1"/>
    <col min="8194" max="8194" width="27.7109375" style="156" customWidth="1"/>
    <col min="8195" max="8196" width="14.5703125" style="156" customWidth="1"/>
    <col min="8197" max="8197" width="13.5703125" style="156" customWidth="1"/>
    <col min="8198" max="8198" width="12.85546875" style="156" customWidth="1"/>
    <col min="8199" max="8199" width="12.140625" style="156" customWidth="1"/>
    <col min="8200" max="8200" width="13.140625" style="156" customWidth="1"/>
    <col min="8201" max="8201" width="12.28515625" style="156" customWidth="1"/>
    <col min="8202" max="8202" width="15.7109375" style="156" customWidth="1"/>
    <col min="8203" max="8203" width="11.7109375" style="156" customWidth="1"/>
    <col min="8204" max="8448" width="8" style="156"/>
    <col min="8449" max="8449" width="5.85546875" style="156" customWidth="1"/>
    <col min="8450" max="8450" width="27.7109375" style="156" customWidth="1"/>
    <col min="8451" max="8452" width="14.5703125" style="156" customWidth="1"/>
    <col min="8453" max="8453" width="13.5703125" style="156" customWidth="1"/>
    <col min="8454" max="8454" width="12.85546875" style="156" customWidth="1"/>
    <col min="8455" max="8455" width="12.140625" style="156" customWidth="1"/>
    <col min="8456" max="8456" width="13.140625" style="156" customWidth="1"/>
    <col min="8457" max="8457" width="12.28515625" style="156" customWidth="1"/>
    <col min="8458" max="8458" width="15.7109375" style="156" customWidth="1"/>
    <col min="8459" max="8459" width="11.7109375" style="156" customWidth="1"/>
    <col min="8460" max="8704" width="8" style="156"/>
    <col min="8705" max="8705" width="5.85546875" style="156" customWidth="1"/>
    <col min="8706" max="8706" width="27.7109375" style="156" customWidth="1"/>
    <col min="8707" max="8708" width="14.5703125" style="156" customWidth="1"/>
    <col min="8709" max="8709" width="13.5703125" style="156" customWidth="1"/>
    <col min="8710" max="8710" width="12.85546875" style="156" customWidth="1"/>
    <col min="8711" max="8711" width="12.140625" style="156" customWidth="1"/>
    <col min="8712" max="8712" width="13.140625" style="156" customWidth="1"/>
    <col min="8713" max="8713" width="12.28515625" style="156" customWidth="1"/>
    <col min="8714" max="8714" width="15.7109375" style="156" customWidth="1"/>
    <col min="8715" max="8715" width="11.7109375" style="156" customWidth="1"/>
    <col min="8716" max="8960" width="8" style="156"/>
    <col min="8961" max="8961" width="5.85546875" style="156" customWidth="1"/>
    <col min="8962" max="8962" width="27.7109375" style="156" customWidth="1"/>
    <col min="8963" max="8964" width="14.5703125" style="156" customWidth="1"/>
    <col min="8965" max="8965" width="13.5703125" style="156" customWidth="1"/>
    <col min="8966" max="8966" width="12.85546875" style="156" customWidth="1"/>
    <col min="8967" max="8967" width="12.140625" style="156" customWidth="1"/>
    <col min="8968" max="8968" width="13.140625" style="156" customWidth="1"/>
    <col min="8969" max="8969" width="12.28515625" style="156" customWidth="1"/>
    <col min="8970" max="8970" width="15.7109375" style="156" customWidth="1"/>
    <col min="8971" max="8971" width="11.7109375" style="156" customWidth="1"/>
    <col min="8972" max="9216" width="8" style="156"/>
    <col min="9217" max="9217" width="5.85546875" style="156" customWidth="1"/>
    <col min="9218" max="9218" width="27.7109375" style="156" customWidth="1"/>
    <col min="9219" max="9220" width="14.5703125" style="156" customWidth="1"/>
    <col min="9221" max="9221" width="13.5703125" style="156" customWidth="1"/>
    <col min="9222" max="9222" width="12.85546875" style="156" customWidth="1"/>
    <col min="9223" max="9223" width="12.140625" style="156" customWidth="1"/>
    <col min="9224" max="9224" width="13.140625" style="156" customWidth="1"/>
    <col min="9225" max="9225" width="12.28515625" style="156" customWidth="1"/>
    <col min="9226" max="9226" width="15.7109375" style="156" customWidth="1"/>
    <col min="9227" max="9227" width="11.7109375" style="156" customWidth="1"/>
    <col min="9228" max="9472" width="8" style="156"/>
    <col min="9473" max="9473" width="5.85546875" style="156" customWidth="1"/>
    <col min="9474" max="9474" width="27.7109375" style="156" customWidth="1"/>
    <col min="9475" max="9476" width="14.5703125" style="156" customWidth="1"/>
    <col min="9477" max="9477" width="13.5703125" style="156" customWidth="1"/>
    <col min="9478" max="9478" width="12.85546875" style="156" customWidth="1"/>
    <col min="9479" max="9479" width="12.140625" style="156" customWidth="1"/>
    <col min="9480" max="9480" width="13.140625" style="156" customWidth="1"/>
    <col min="9481" max="9481" width="12.28515625" style="156" customWidth="1"/>
    <col min="9482" max="9482" width="15.7109375" style="156" customWidth="1"/>
    <col min="9483" max="9483" width="11.7109375" style="156" customWidth="1"/>
    <col min="9484" max="9728" width="8" style="156"/>
    <col min="9729" max="9729" width="5.85546875" style="156" customWidth="1"/>
    <col min="9730" max="9730" width="27.7109375" style="156" customWidth="1"/>
    <col min="9731" max="9732" width="14.5703125" style="156" customWidth="1"/>
    <col min="9733" max="9733" width="13.5703125" style="156" customWidth="1"/>
    <col min="9734" max="9734" width="12.85546875" style="156" customWidth="1"/>
    <col min="9735" max="9735" width="12.140625" style="156" customWidth="1"/>
    <col min="9736" max="9736" width="13.140625" style="156" customWidth="1"/>
    <col min="9737" max="9737" width="12.28515625" style="156" customWidth="1"/>
    <col min="9738" max="9738" width="15.7109375" style="156" customWidth="1"/>
    <col min="9739" max="9739" width="11.7109375" style="156" customWidth="1"/>
    <col min="9740" max="9984" width="8" style="156"/>
    <col min="9985" max="9985" width="5.85546875" style="156" customWidth="1"/>
    <col min="9986" max="9986" width="27.7109375" style="156" customWidth="1"/>
    <col min="9987" max="9988" width="14.5703125" style="156" customWidth="1"/>
    <col min="9989" max="9989" width="13.5703125" style="156" customWidth="1"/>
    <col min="9990" max="9990" width="12.85546875" style="156" customWidth="1"/>
    <col min="9991" max="9991" width="12.140625" style="156" customWidth="1"/>
    <col min="9992" max="9992" width="13.140625" style="156" customWidth="1"/>
    <col min="9993" max="9993" width="12.28515625" style="156" customWidth="1"/>
    <col min="9994" max="9994" width="15.7109375" style="156" customWidth="1"/>
    <col min="9995" max="9995" width="11.7109375" style="156" customWidth="1"/>
    <col min="9996" max="10240" width="8" style="156"/>
    <col min="10241" max="10241" width="5.85546875" style="156" customWidth="1"/>
    <col min="10242" max="10242" width="27.7109375" style="156" customWidth="1"/>
    <col min="10243" max="10244" width="14.5703125" style="156" customWidth="1"/>
    <col min="10245" max="10245" width="13.5703125" style="156" customWidth="1"/>
    <col min="10246" max="10246" width="12.85546875" style="156" customWidth="1"/>
    <col min="10247" max="10247" width="12.140625" style="156" customWidth="1"/>
    <col min="10248" max="10248" width="13.140625" style="156" customWidth="1"/>
    <col min="10249" max="10249" width="12.28515625" style="156" customWidth="1"/>
    <col min="10250" max="10250" width="15.7109375" style="156" customWidth="1"/>
    <col min="10251" max="10251" width="11.7109375" style="156" customWidth="1"/>
    <col min="10252" max="10496" width="8" style="156"/>
    <col min="10497" max="10497" width="5.85546875" style="156" customWidth="1"/>
    <col min="10498" max="10498" width="27.7109375" style="156" customWidth="1"/>
    <col min="10499" max="10500" width="14.5703125" style="156" customWidth="1"/>
    <col min="10501" max="10501" width="13.5703125" style="156" customWidth="1"/>
    <col min="10502" max="10502" width="12.85546875" style="156" customWidth="1"/>
    <col min="10503" max="10503" width="12.140625" style="156" customWidth="1"/>
    <col min="10504" max="10504" width="13.140625" style="156" customWidth="1"/>
    <col min="10505" max="10505" width="12.28515625" style="156" customWidth="1"/>
    <col min="10506" max="10506" width="15.7109375" style="156" customWidth="1"/>
    <col min="10507" max="10507" width="11.7109375" style="156" customWidth="1"/>
    <col min="10508" max="10752" width="8" style="156"/>
    <col min="10753" max="10753" width="5.85546875" style="156" customWidth="1"/>
    <col min="10754" max="10754" width="27.7109375" style="156" customWidth="1"/>
    <col min="10755" max="10756" width="14.5703125" style="156" customWidth="1"/>
    <col min="10757" max="10757" width="13.5703125" style="156" customWidth="1"/>
    <col min="10758" max="10758" width="12.85546875" style="156" customWidth="1"/>
    <col min="10759" max="10759" width="12.140625" style="156" customWidth="1"/>
    <col min="10760" max="10760" width="13.140625" style="156" customWidth="1"/>
    <col min="10761" max="10761" width="12.28515625" style="156" customWidth="1"/>
    <col min="10762" max="10762" width="15.7109375" style="156" customWidth="1"/>
    <col min="10763" max="10763" width="11.7109375" style="156" customWidth="1"/>
    <col min="10764" max="11008" width="8" style="156"/>
    <col min="11009" max="11009" width="5.85546875" style="156" customWidth="1"/>
    <col min="11010" max="11010" width="27.7109375" style="156" customWidth="1"/>
    <col min="11011" max="11012" width="14.5703125" style="156" customWidth="1"/>
    <col min="11013" max="11013" width="13.5703125" style="156" customWidth="1"/>
    <col min="11014" max="11014" width="12.85546875" style="156" customWidth="1"/>
    <col min="11015" max="11015" width="12.140625" style="156" customWidth="1"/>
    <col min="11016" max="11016" width="13.140625" style="156" customWidth="1"/>
    <col min="11017" max="11017" width="12.28515625" style="156" customWidth="1"/>
    <col min="11018" max="11018" width="15.7109375" style="156" customWidth="1"/>
    <col min="11019" max="11019" width="11.7109375" style="156" customWidth="1"/>
    <col min="11020" max="11264" width="8" style="156"/>
    <col min="11265" max="11265" width="5.85546875" style="156" customWidth="1"/>
    <col min="11266" max="11266" width="27.7109375" style="156" customWidth="1"/>
    <col min="11267" max="11268" width="14.5703125" style="156" customWidth="1"/>
    <col min="11269" max="11269" width="13.5703125" style="156" customWidth="1"/>
    <col min="11270" max="11270" width="12.85546875" style="156" customWidth="1"/>
    <col min="11271" max="11271" width="12.140625" style="156" customWidth="1"/>
    <col min="11272" max="11272" width="13.140625" style="156" customWidth="1"/>
    <col min="11273" max="11273" width="12.28515625" style="156" customWidth="1"/>
    <col min="11274" max="11274" width="15.7109375" style="156" customWidth="1"/>
    <col min="11275" max="11275" width="11.7109375" style="156" customWidth="1"/>
    <col min="11276" max="11520" width="8" style="156"/>
    <col min="11521" max="11521" width="5.85546875" style="156" customWidth="1"/>
    <col min="11522" max="11522" width="27.7109375" style="156" customWidth="1"/>
    <col min="11523" max="11524" width="14.5703125" style="156" customWidth="1"/>
    <col min="11525" max="11525" width="13.5703125" style="156" customWidth="1"/>
    <col min="11526" max="11526" width="12.85546875" style="156" customWidth="1"/>
    <col min="11527" max="11527" width="12.140625" style="156" customWidth="1"/>
    <col min="11528" max="11528" width="13.140625" style="156" customWidth="1"/>
    <col min="11529" max="11529" width="12.28515625" style="156" customWidth="1"/>
    <col min="11530" max="11530" width="15.7109375" style="156" customWidth="1"/>
    <col min="11531" max="11531" width="11.7109375" style="156" customWidth="1"/>
    <col min="11532" max="11776" width="8" style="156"/>
    <col min="11777" max="11777" width="5.85546875" style="156" customWidth="1"/>
    <col min="11778" max="11778" width="27.7109375" style="156" customWidth="1"/>
    <col min="11779" max="11780" width="14.5703125" style="156" customWidth="1"/>
    <col min="11781" max="11781" width="13.5703125" style="156" customWidth="1"/>
    <col min="11782" max="11782" width="12.85546875" style="156" customWidth="1"/>
    <col min="11783" max="11783" width="12.140625" style="156" customWidth="1"/>
    <col min="11784" max="11784" width="13.140625" style="156" customWidth="1"/>
    <col min="11785" max="11785" width="12.28515625" style="156" customWidth="1"/>
    <col min="11786" max="11786" width="15.7109375" style="156" customWidth="1"/>
    <col min="11787" max="11787" width="11.7109375" style="156" customWidth="1"/>
    <col min="11788" max="12032" width="8" style="156"/>
    <col min="12033" max="12033" width="5.85546875" style="156" customWidth="1"/>
    <col min="12034" max="12034" width="27.7109375" style="156" customWidth="1"/>
    <col min="12035" max="12036" width="14.5703125" style="156" customWidth="1"/>
    <col min="12037" max="12037" width="13.5703125" style="156" customWidth="1"/>
    <col min="12038" max="12038" width="12.85546875" style="156" customWidth="1"/>
    <col min="12039" max="12039" width="12.140625" style="156" customWidth="1"/>
    <col min="12040" max="12040" width="13.140625" style="156" customWidth="1"/>
    <col min="12041" max="12041" width="12.28515625" style="156" customWidth="1"/>
    <col min="12042" max="12042" width="15.7109375" style="156" customWidth="1"/>
    <col min="12043" max="12043" width="11.7109375" style="156" customWidth="1"/>
    <col min="12044" max="12288" width="8" style="156"/>
    <col min="12289" max="12289" width="5.85546875" style="156" customWidth="1"/>
    <col min="12290" max="12290" width="27.7109375" style="156" customWidth="1"/>
    <col min="12291" max="12292" width="14.5703125" style="156" customWidth="1"/>
    <col min="12293" max="12293" width="13.5703125" style="156" customWidth="1"/>
    <col min="12294" max="12294" width="12.85546875" style="156" customWidth="1"/>
    <col min="12295" max="12295" width="12.140625" style="156" customWidth="1"/>
    <col min="12296" max="12296" width="13.140625" style="156" customWidth="1"/>
    <col min="12297" max="12297" width="12.28515625" style="156" customWidth="1"/>
    <col min="12298" max="12298" width="15.7109375" style="156" customWidth="1"/>
    <col min="12299" max="12299" width="11.7109375" style="156" customWidth="1"/>
    <col min="12300" max="12544" width="8" style="156"/>
    <col min="12545" max="12545" width="5.85546875" style="156" customWidth="1"/>
    <col min="12546" max="12546" width="27.7109375" style="156" customWidth="1"/>
    <col min="12547" max="12548" width="14.5703125" style="156" customWidth="1"/>
    <col min="12549" max="12549" width="13.5703125" style="156" customWidth="1"/>
    <col min="12550" max="12550" width="12.85546875" style="156" customWidth="1"/>
    <col min="12551" max="12551" width="12.140625" style="156" customWidth="1"/>
    <col min="12552" max="12552" width="13.140625" style="156" customWidth="1"/>
    <col min="12553" max="12553" width="12.28515625" style="156" customWidth="1"/>
    <col min="12554" max="12554" width="15.7109375" style="156" customWidth="1"/>
    <col min="12555" max="12555" width="11.7109375" style="156" customWidth="1"/>
    <col min="12556" max="12800" width="8" style="156"/>
    <col min="12801" max="12801" width="5.85546875" style="156" customWidth="1"/>
    <col min="12802" max="12802" width="27.7109375" style="156" customWidth="1"/>
    <col min="12803" max="12804" width="14.5703125" style="156" customWidth="1"/>
    <col min="12805" max="12805" width="13.5703125" style="156" customWidth="1"/>
    <col min="12806" max="12806" width="12.85546875" style="156" customWidth="1"/>
    <col min="12807" max="12807" width="12.140625" style="156" customWidth="1"/>
    <col min="12808" max="12808" width="13.140625" style="156" customWidth="1"/>
    <col min="12809" max="12809" width="12.28515625" style="156" customWidth="1"/>
    <col min="12810" max="12810" width="15.7109375" style="156" customWidth="1"/>
    <col min="12811" max="12811" width="11.7109375" style="156" customWidth="1"/>
    <col min="12812" max="13056" width="8" style="156"/>
    <col min="13057" max="13057" width="5.85546875" style="156" customWidth="1"/>
    <col min="13058" max="13058" width="27.7109375" style="156" customWidth="1"/>
    <col min="13059" max="13060" width="14.5703125" style="156" customWidth="1"/>
    <col min="13061" max="13061" width="13.5703125" style="156" customWidth="1"/>
    <col min="13062" max="13062" width="12.85546875" style="156" customWidth="1"/>
    <col min="13063" max="13063" width="12.140625" style="156" customWidth="1"/>
    <col min="13064" max="13064" width="13.140625" style="156" customWidth="1"/>
    <col min="13065" max="13065" width="12.28515625" style="156" customWidth="1"/>
    <col min="13066" max="13066" width="15.7109375" style="156" customWidth="1"/>
    <col min="13067" max="13067" width="11.7109375" style="156" customWidth="1"/>
    <col min="13068" max="13312" width="8" style="156"/>
    <col min="13313" max="13313" width="5.85546875" style="156" customWidth="1"/>
    <col min="13314" max="13314" width="27.7109375" style="156" customWidth="1"/>
    <col min="13315" max="13316" width="14.5703125" style="156" customWidth="1"/>
    <col min="13317" max="13317" width="13.5703125" style="156" customWidth="1"/>
    <col min="13318" max="13318" width="12.85546875" style="156" customWidth="1"/>
    <col min="13319" max="13319" width="12.140625" style="156" customWidth="1"/>
    <col min="13320" max="13320" width="13.140625" style="156" customWidth="1"/>
    <col min="13321" max="13321" width="12.28515625" style="156" customWidth="1"/>
    <col min="13322" max="13322" width="15.7109375" style="156" customWidth="1"/>
    <col min="13323" max="13323" width="11.7109375" style="156" customWidth="1"/>
    <col min="13324" max="13568" width="8" style="156"/>
    <col min="13569" max="13569" width="5.85546875" style="156" customWidth="1"/>
    <col min="13570" max="13570" width="27.7109375" style="156" customWidth="1"/>
    <col min="13571" max="13572" width="14.5703125" style="156" customWidth="1"/>
    <col min="13573" max="13573" width="13.5703125" style="156" customWidth="1"/>
    <col min="13574" max="13574" width="12.85546875" style="156" customWidth="1"/>
    <col min="13575" max="13575" width="12.140625" style="156" customWidth="1"/>
    <col min="13576" max="13576" width="13.140625" style="156" customWidth="1"/>
    <col min="13577" max="13577" width="12.28515625" style="156" customWidth="1"/>
    <col min="13578" max="13578" width="15.7109375" style="156" customWidth="1"/>
    <col min="13579" max="13579" width="11.7109375" style="156" customWidth="1"/>
    <col min="13580" max="13824" width="8" style="156"/>
    <col min="13825" max="13825" width="5.85546875" style="156" customWidth="1"/>
    <col min="13826" max="13826" width="27.7109375" style="156" customWidth="1"/>
    <col min="13827" max="13828" width="14.5703125" style="156" customWidth="1"/>
    <col min="13829" max="13829" width="13.5703125" style="156" customWidth="1"/>
    <col min="13830" max="13830" width="12.85546875" style="156" customWidth="1"/>
    <col min="13831" max="13831" width="12.140625" style="156" customWidth="1"/>
    <col min="13832" max="13832" width="13.140625" style="156" customWidth="1"/>
    <col min="13833" max="13833" width="12.28515625" style="156" customWidth="1"/>
    <col min="13834" max="13834" width="15.7109375" style="156" customWidth="1"/>
    <col min="13835" max="13835" width="11.7109375" style="156" customWidth="1"/>
    <col min="13836" max="14080" width="8" style="156"/>
    <col min="14081" max="14081" width="5.85546875" style="156" customWidth="1"/>
    <col min="14082" max="14082" width="27.7109375" style="156" customWidth="1"/>
    <col min="14083" max="14084" width="14.5703125" style="156" customWidth="1"/>
    <col min="14085" max="14085" width="13.5703125" style="156" customWidth="1"/>
    <col min="14086" max="14086" width="12.85546875" style="156" customWidth="1"/>
    <col min="14087" max="14087" width="12.140625" style="156" customWidth="1"/>
    <col min="14088" max="14088" width="13.140625" style="156" customWidth="1"/>
    <col min="14089" max="14089" width="12.28515625" style="156" customWidth="1"/>
    <col min="14090" max="14090" width="15.7109375" style="156" customWidth="1"/>
    <col min="14091" max="14091" width="11.7109375" style="156" customWidth="1"/>
    <col min="14092" max="14336" width="8" style="156"/>
    <col min="14337" max="14337" width="5.85546875" style="156" customWidth="1"/>
    <col min="14338" max="14338" width="27.7109375" style="156" customWidth="1"/>
    <col min="14339" max="14340" width="14.5703125" style="156" customWidth="1"/>
    <col min="14341" max="14341" width="13.5703125" style="156" customWidth="1"/>
    <col min="14342" max="14342" width="12.85546875" style="156" customWidth="1"/>
    <col min="14343" max="14343" width="12.140625" style="156" customWidth="1"/>
    <col min="14344" max="14344" width="13.140625" style="156" customWidth="1"/>
    <col min="14345" max="14345" width="12.28515625" style="156" customWidth="1"/>
    <col min="14346" max="14346" width="15.7109375" style="156" customWidth="1"/>
    <col min="14347" max="14347" width="11.7109375" style="156" customWidth="1"/>
    <col min="14348" max="14592" width="8" style="156"/>
    <col min="14593" max="14593" width="5.85546875" style="156" customWidth="1"/>
    <col min="14594" max="14594" width="27.7109375" style="156" customWidth="1"/>
    <col min="14595" max="14596" width="14.5703125" style="156" customWidth="1"/>
    <col min="14597" max="14597" width="13.5703125" style="156" customWidth="1"/>
    <col min="14598" max="14598" width="12.85546875" style="156" customWidth="1"/>
    <col min="14599" max="14599" width="12.140625" style="156" customWidth="1"/>
    <col min="14600" max="14600" width="13.140625" style="156" customWidth="1"/>
    <col min="14601" max="14601" width="12.28515625" style="156" customWidth="1"/>
    <col min="14602" max="14602" width="15.7109375" style="156" customWidth="1"/>
    <col min="14603" max="14603" width="11.7109375" style="156" customWidth="1"/>
    <col min="14604" max="14848" width="8" style="156"/>
    <col min="14849" max="14849" width="5.85546875" style="156" customWidth="1"/>
    <col min="14850" max="14850" width="27.7109375" style="156" customWidth="1"/>
    <col min="14851" max="14852" width="14.5703125" style="156" customWidth="1"/>
    <col min="14853" max="14853" width="13.5703125" style="156" customWidth="1"/>
    <col min="14854" max="14854" width="12.85546875" style="156" customWidth="1"/>
    <col min="14855" max="14855" width="12.140625" style="156" customWidth="1"/>
    <col min="14856" max="14856" width="13.140625" style="156" customWidth="1"/>
    <col min="14857" max="14857" width="12.28515625" style="156" customWidth="1"/>
    <col min="14858" max="14858" width="15.7109375" style="156" customWidth="1"/>
    <col min="14859" max="14859" width="11.7109375" style="156" customWidth="1"/>
    <col min="14860" max="15104" width="8" style="156"/>
    <col min="15105" max="15105" width="5.85546875" style="156" customWidth="1"/>
    <col min="15106" max="15106" width="27.7109375" style="156" customWidth="1"/>
    <col min="15107" max="15108" width="14.5703125" style="156" customWidth="1"/>
    <col min="15109" max="15109" width="13.5703125" style="156" customWidth="1"/>
    <col min="15110" max="15110" width="12.85546875" style="156" customWidth="1"/>
    <col min="15111" max="15111" width="12.140625" style="156" customWidth="1"/>
    <col min="15112" max="15112" width="13.140625" style="156" customWidth="1"/>
    <col min="15113" max="15113" width="12.28515625" style="156" customWidth="1"/>
    <col min="15114" max="15114" width="15.7109375" style="156" customWidth="1"/>
    <col min="15115" max="15115" width="11.7109375" style="156" customWidth="1"/>
    <col min="15116" max="15360" width="8" style="156"/>
    <col min="15361" max="15361" width="5.85546875" style="156" customWidth="1"/>
    <col min="15362" max="15362" width="27.7109375" style="156" customWidth="1"/>
    <col min="15363" max="15364" width="14.5703125" style="156" customWidth="1"/>
    <col min="15365" max="15365" width="13.5703125" style="156" customWidth="1"/>
    <col min="15366" max="15366" width="12.85546875" style="156" customWidth="1"/>
    <col min="15367" max="15367" width="12.140625" style="156" customWidth="1"/>
    <col min="15368" max="15368" width="13.140625" style="156" customWidth="1"/>
    <col min="15369" max="15369" width="12.28515625" style="156" customWidth="1"/>
    <col min="15370" max="15370" width="15.7109375" style="156" customWidth="1"/>
    <col min="15371" max="15371" width="11.7109375" style="156" customWidth="1"/>
    <col min="15372" max="15616" width="8" style="156"/>
    <col min="15617" max="15617" width="5.85546875" style="156" customWidth="1"/>
    <col min="15618" max="15618" width="27.7109375" style="156" customWidth="1"/>
    <col min="15619" max="15620" width="14.5703125" style="156" customWidth="1"/>
    <col min="15621" max="15621" width="13.5703125" style="156" customWidth="1"/>
    <col min="15622" max="15622" width="12.85546875" style="156" customWidth="1"/>
    <col min="15623" max="15623" width="12.140625" style="156" customWidth="1"/>
    <col min="15624" max="15624" width="13.140625" style="156" customWidth="1"/>
    <col min="15625" max="15625" width="12.28515625" style="156" customWidth="1"/>
    <col min="15626" max="15626" width="15.7109375" style="156" customWidth="1"/>
    <col min="15627" max="15627" width="11.7109375" style="156" customWidth="1"/>
    <col min="15628" max="15872" width="8" style="156"/>
    <col min="15873" max="15873" width="5.85546875" style="156" customWidth="1"/>
    <col min="15874" max="15874" width="27.7109375" style="156" customWidth="1"/>
    <col min="15875" max="15876" width="14.5703125" style="156" customWidth="1"/>
    <col min="15877" max="15877" width="13.5703125" style="156" customWidth="1"/>
    <col min="15878" max="15878" width="12.85546875" style="156" customWidth="1"/>
    <col min="15879" max="15879" width="12.140625" style="156" customWidth="1"/>
    <col min="15880" max="15880" width="13.140625" style="156" customWidth="1"/>
    <col min="15881" max="15881" width="12.28515625" style="156" customWidth="1"/>
    <col min="15882" max="15882" width="15.7109375" style="156" customWidth="1"/>
    <col min="15883" max="15883" width="11.7109375" style="156" customWidth="1"/>
    <col min="15884" max="16128" width="8" style="156"/>
    <col min="16129" max="16129" width="5.85546875" style="156" customWidth="1"/>
    <col min="16130" max="16130" width="27.7109375" style="156" customWidth="1"/>
    <col min="16131" max="16132" width="14.5703125" style="156" customWidth="1"/>
    <col min="16133" max="16133" width="13.5703125" style="156" customWidth="1"/>
    <col min="16134" max="16134" width="12.85546875" style="156" customWidth="1"/>
    <col min="16135" max="16135" width="12.140625" style="156" customWidth="1"/>
    <col min="16136" max="16136" width="13.140625" style="156" customWidth="1"/>
    <col min="16137" max="16137" width="12.28515625" style="156" customWidth="1"/>
    <col min="16138" max="16138" width="15.7109375" style="156" customWidth="1"/>
    <col min="16139" max="16139" width="11.7109375" style="156" customWidth="1"/>
    <col min="16140" max="16384" width="8" style="156"/>
  </cols>
  <sheetData>
    <row r="1" spans="1:11" ht="14.25" thickBot="1" x14ac:dyDescent="0.25">
      <c r="A1" s="297"/>
      <c r="B1" s="298"/>
      <c r="C1" s="298"/>
      <c r="D1" s="298"/>
      <c r="E1" s="298"/>
      <c r="F1" s="1221"/>
      <c r="G1" s="1221"/>
      <c r="H1" s="1221"/>
      <c r="I1" s="298"/>
      <c r="J1" s="299" t="s">
        <v>489</v>
      </c>
      <c r="K1" s="767"/>
    </row>
    <row r="2" spans="1:11" s="302" customFormat="1" ht="26.25" customHeight="1" x14ac:dyDescent="0.2">
      <c r="A2" s="1222" t="s">
        <v>394</v>
      </c>
      <c r="B2" s="1224" t="s">
        <v>395</v>
      </c>
      <c r="C2" s="1224" t="s">
        <v>396</v>
      </c>
      <c r="D2" s="1224" t="s">
        <v>397</v>
      </c>
      <c r="E2" s="1224" t="s">
        <v>796</v>
      </c>
      <c r="F2" s="300" t="s">
        <v>398</v>
      </c>
      <c r="G2" s="301"/>
      <c r="H2" s="301"/>
      <c r="I2" s="301"/>
      <c r="J2" s="1219" t="s">
        <v>399</v>
      </c>
      <c r="K2" s="767"/>
    </row>
    <row r="3" spans="1:11" s="305" customFormat="1" ht="32.25" customHeight="1" thickBot="1" x14ac:dyDescent="0.25">
      <c r="A3" s="1223"/>
      <c r="B3" s="1225"/>
      <c r="C3" s="1225"/>
      <c r="D3" s="1226"/>
      <c r="E3" s="1226"/>
      <c r="F3" s="303" t="s">
        <v>570</v>
      </c>
      <c r="G3" s="304" t="s">
        <v>767</v>
      </c>
      <c r="H3" s="304" t="s">
        <v>807</v>
      </c>
      <c r="I3" s="629" t="s">
        <v>887</v>
      </c>
      <c r="J3" s="1220"/>
      <c r="K3" s="767"/>
    </row>
    <row r="4" spans="1:11" s="309" customFormat="1" ht="22.5" customHeight="1" thickBot="1" x14ac:dyDescent="0.25">
      <c r="A4" s="768" t="s">
        <v>446</v>
      </c>
      <c r="B4" s="306" t="s">
        <v>735</v>
      </c>
      <c r="C4" s="307" t="s">
        <v>448</v>
      </c>
      <c r="D4" s="307" t="s">
        <v>449</v>
      </c>
      <c r="E4" s="307" t="s">
        <v>450</v>
      </c>
      <c r="F4" s="307" t="s">
        <v>635</v>
      </c>
      <c r="G4" s="307" t="s">
        <v>636</v>
      </c>
      <c r="H4" s="307" t="s">
        <v>637</v>
      </c>
      <c r="I4" s="307" t="s">
        <v>638</v>
      </c>
      <c r="J4" s="308" t="s">
        <v>736</v>
      </c>
      <c r="K4" s="767"/>
    </row>
    <row r="5" spans="1:11" ht="33.75" customHeight="1" x14ac:dyDescent="0.2">
      <c r="A5" s="769" t="s">
        <v>228</v>
      </c>
      <c r="B5" s="770" t="s">
        <v>550</v>
      </c>
      <c r="C5" s="771"/>
      <c r="D5" s="772">
        <v>100000000</v>
      </c>
      <c r="E5" s="773">
        <v>0</v>
      </c>
      <c r="F5" s="773">
        <v>0</v>
      </c>
      <c r="G5" s="773">
        <v>0</v>
      </c>
      <c r="H5" s="773">
        <v>0</v>
      </c>
      <c r="I5" s="774">
        <v>0</v>
      </c>
      <c r="J5" s="775">
        <v>0</v>
      </c>
      <c r="K5" s="767"/>
    </row>
    <row r="6" spans="1:11" ht="39" customHeight="1" x14ac:dyDescent="0.2">
      <c r="A6" s="776" t="s">
        <v>234</v>
      </c>
      <c r="B6" s="777" t="s">
        <v>362</v>
      </c>
      <c r="C6" s="778">
        <v>2018</v>
      </c>
      <c r="D6" s="779">
        <v>100000000</v>
      </c>
      <c r="E6" s="780">
        <v>0</v>
      </c>
      <c r="F6" s="780">
        <v>0</v>
      </c>
      <c r="G6" s="780">
        <v>0</v>
      </c>
      <c r="H6" s="780">
        <v>0</v>
      </c>
      <c r="I6" s="781">
        <v>0</v>
      </c>
      <c r="J6" s="782">
        <f>SUM(F6:I6)</f>
        <v>0</v>
      </c>
      <c r="K6" s="767"/>
    </row>
    <row r="7" spans="1:11" ht="36" customHeight="1" x14ac:dyDescent="0.2">
      <c r="A7" s="776"/>
      <c r="B7" s="783" t="s">
        <v>551</v>
      </c>
      <c r="C7" s="784"/>
      <c r="D7" s="785">
        <f t="shared" ref="D7:J7" si="0">SUM(D8:D22)</f>
        <v>135469877</v>
      </c>
      <c r="E7" s="786">
        <f t="shared" si="0"/>
        <v>8118704</v>
      </c>
      <c r="F7" s="786">
        <f t="shared" si="0"/>
        <v>19852000</v>
      </c>
      <c r="G7" s="786">
        <f t="shared" si="0"/>
        <v>21457694</v>
      </c>
      <c r="H7" s="786">
        <f t="shared" si="0"/>
        <v>17908050</v>
      </c>
      <c r="I7" s="786">
        <f t="shared" si="0"/>
        <v>62822429</v>
      </c>
      <c r="J7" s="787">
        <f t="shared" si="0"/>
        <v>122040173</v>
      </c>
      <c r="K7" s="767"/>
    </row>
    <row r="8" spans="1:11" ht="37.5" customHeight="1" x14ac:dyDescent="0.2">
      <c r="A8" s="776" t="s">
        <v>235</v>
      </c>
      <c r="B8" s="788" t="s">
        <v>363</v>
      </c>
      <c r="C8" s="778">
        <v>2013</v>
      </c>
      <c r="D8" s="789">
        <v>2880704</v>
      </c>
      <c r="E8" s="779">
        <v>570704</v>
      </c>
      <c r="F8" s="780">
        <v>0</v>
      </c>
      <c r="G8" s="780">
        <v>0</v>
      </c>
      <c r="H8" s="790">
        <v>0</v>
      </c>
      <c r="I8" s="781">
        <v>0</v>
      </c>
      <c r="J8" s="791">
        <f t="shared" ref="J8:J22" si="1">SUM(F8:I8)</f>
        <v>0</v>
      </c>
      <c r="K8" s="767"/>
    </row>
    <row r="9" spans="1:11" ht="75" x14ac:dyDescent="0.2">
      <c r="A9" s="776" t="s">
        <v>236</v>
      </c>
      <c r="B9" s="792" t="s">
        <v>364</v>
      </c>
      <c r="C9" s="793">
        <v>2016</v>
      </c>
      <c r="D9" s="789">
        <v>10694590</v>
      </c>
      <c r="E9" s="780">
        <v>4444000</v>
      </c>
      <c r="F9" s="780">
        <v>4444000</v>
      </c>
      <c r="G9" s="779">
        <v>1805590</v>
      </c>
      <c r="H9" s="790">
        <v>0</v>
      </c>
      <c r="I9" s="781">
        <v>0</v>
      </c>
      <c r="J9" s="787">
        <f t="shared" si="1"/>
        <v>6249590</v>
      </c>
      <c r="K9" s="767"/>
    </row>
    <row r="10" spans="1:11" ht="60" x14ac:dyDescent="0.2">
      <c r="A10" s="776" t="s">
        <v>237</v>
      </c>
      <c r="B10" s="792" t="s">
        <v>365</v>
      </c>
      <c r="C10" s="793">
        <v>2016</v>
      </c>
      <c r="D10" s="789">
        <v>10303000</v>
      </c>
      <c r="E10" s="780">
        <v>1104000</v>
      </c>
      <c r="F10" s="780">
        <v>1840000</v>
      </c>
      <c r="G10" s="780">
        <v>1472000</v>
      </c>
      <c r="H10" s="780">
        <v>1472000</v>
      </c>
      <c r="I10" s="781">
        <v>4415000</v>
      </c>
      <c r="J10" s="787">
        <f t="shared" si="1"/>
        <v>9199000</v>
      </c>
      <c r="K10" s="767"/>
    </row>
    <row r="11" spans="1:11" ht="45" x14ac:dyDescent="0.2">
      <c r="A11" s="776" t="s">
        <v>240</v>
      </c>
      <c r="B11" s="794" t="s">
        <v>366</v>
      </c>
      <c r="C11" s="793">
        <v>2016</v>
      </c>
      <c r="D11" s="789">
        <v>4434961</v>
      </c>
      <c r="E11" s="779">
        <v>887000</v>
      </c>
      <c r="F11" s="780">
        <v>887000</v>
      </c>
      <c r="G11" s="779">
        <v>887000</v>
      </c>
      <c r="H11" s="779">
        <v>443461</v>
      </c>
      <c r="I11" s="781">
        <v>0</v>
      </c>
      <c r="J11" s="787">
        <f t="shared" si="1"/>
        <v>2217461</v>
      </c>
      <c r="K11" s="767"/>
    </row>
    <row r="12" spans="1:11" ht="49.5" customHeight="1" x14ac:dyDescent="0.2">
      <c r="A12" s="776" t="s">
        <v>241</v>
      </c>
      <c r="B12" s="794" t="s">
        <v>367</v>
      </c>
      <c r="C12" s="793">
        <v>2016</v>
      </c>
      <c r="D12" s="789">
        <v>5565039</v>
      </c>
      <c r="E12" s="779">
        <v>1113000</v>
      </c>
      <c r="F12" s="780">
        <v>1113000</v>
      </c>
      <c r="G12" s="780">
        <v>1113000</v>
      </c>
      <c r="H12" s="780">
        <v>556539</v>
      </c>
      <c r="I12" s="781">
        <v>0</v>
      </c>
      <c r="J12" s="787">
        <f t="shared" si="1"/>
        <v>2782539</v>
      </c>
      <c r="K12" s="767"/>
    </row>
    <row r="13" spans="1:11" ht="42" customHeight="1" x14ac:dyDescent="0.25">
      <c r="A13" s="776" t="s">
        <v>242</v>
      </c>
      <c r="B13" s="795" t="s">
        <v>790</v>
      </c>
      <c r="C13" s="796">
        <v>2017</v>
      </c>
      <c r="D13" s="789">
        <v>41101155</v>
      </c>
      <c r="E13" s="780">
        <v>0</v>
      </c>
      <c r="F13" s="780">
        <v>4940000</v>
      </c>
      <c r="G13" s="780">
        <v>4940000</v>
      </c>
      <c r="H13" s="780">
        <v>4940000</v>
      </c>
      <c r="I13" s="781">
        <v>26281155</v>
      </c>
      <c r="J13" s="787">
        <f t="shared" si="1"/>
        <v>41101155</v>
      </c>
      <c r="K13" s="767"/>
    </row>
    <row r="14" spans="1:11" ht="44.25" customHeight="1" x14ac:dyDescent="0.25">
      <c r="A14" s="776" t="s">
        <v>243</v>
      </c>
      <c r="B14" s="797" t="s">
        <v>791</v>
      </c>
      <c r="C14" s="798">
        <v>2017</v>
      </c>
      <c r="D14" s="789">
        <v>5500000</v>
      </c>
      <c r="E14" s="780">
        <v>0</v>
      </c>
      <c r="F14" s="780">
        <v>1464000</v>
      </c>
      <c r="G14" s="780">
        <v>1464000</v>
      </c>
      <c r="H14" s="780">
        <v>1464000</v>
      </c>
      <c r="I14" s="781">
        <v>1108000</v>
      </c>
      <c r="J14" s="787">
        <f t="shared" si="1"/>
        <v>5500000</v>
      </c>
      <c r="K14" s="767"/>
    </row>
    <row r="15" spans="1:11" ht="36.75" customHeight="1" x14ac:dyDescent="0.25">
      <c r="A15" s="776" t="s">
        <v>244</v>
      </c>
      <c r="B15" s="799" t="s">
        <v>888</v>
      </c>
      <c r="C15" s="796">
        <v>2018</v>
      </c>
      <c r="D15" s="789">
        <v>3201452</v>
      </c>
      <c r="E15" s="780">
        <v>0</v>
      </c>
      <c r="F15" s="780">
        <v>984000</v>
      </c>
      <c r="G15" s="780">
        <v>984000</v>
      </c>
      <c r="H15" s="780">
        <v>984000</v>
      </c>
      <c r="I15" s="781">
        <v>249452</v>
      </c>
      <c r="J15" s="787">
        <f t="shared" si="1"/>
        <v>3201452</v>
      </c>
      <c r="K15" s="767"/>
    </row>
    <row r="16" spans="1:11" ht="66.75" customHeight="1" x14ac:dyDescent="0.25">
      <c r="A16" s="776" t="s">
        <v>245</v>
      </c>
      <c r="B16" s="800" t="s">
        <v>889</v>
      </c>
      <c r="C16" s="798">
        <v>2018</v>
      </c>
      <c r="D16" s="789">
        <v>0</v>
      </c>
      <c r="E16" s="780">
        <v>0</v>
      </c>
      <c r="F16" s="780">
        <v>0</v>
      </c>
      <c r="G16" s="780">
        <v>0</v>
      </c>
      <c r="H16" s="780">
        <v>0</v>
      </c>
      <c r="I16" s="781">
        <v>0</v>
      </c>
      <c r="J16" s="791">
        <f t="shared" si="1"/>
        <v>0</v>
      </c>
      <c r="K16" s="767"/>
    </row>
    <row r="17" spans="1:11" ht="46.5" customHeight="1" x14ac:dyDescent="0.25">
      <c r="A17" s="776" t="s">
        <v>246</v>
      </c>
      <c r="B17" s="799" t="s">
        <v>890</v>
      </c>
      <c r="C17" s="796">
        <v>2018</v>
      </c>
      <c r="D17" s="801">
        <v>2981946</v>
      </c>
      <c r="E17" s="802">
        <v>0</v>
      </c>
      <c r="F17" s="802">
        <v>1242000</v>
      </c>
      <c r="G17" s="802">
        <v>1242000</v>
      </c>
      <c r="H17" s="802">
        <v>497946</v>
      </c>
      <c r="I17" s="803">
        <v>0</v>
      </c>
      <c r="J17" s="804">
        <f>SUM(F17:I17)</f>
        <v>2981946</v>
      </c>
      <c r="K17" s="767"/>
    </row>
    <row r="18" spans="1:11" ht="33.75" customHeight="1" x14ac:dyDescent="0.25">
      <c r="A18" s="776" t="s">
        <v>247</v>
      </c>
      <c r="B18" s="799" t="s">
        <v>891</v>
      </c>
      <c r="C18" s="796">
        <v>2018</v>
      </c>
      <c r="D18" s="801">
        <v>4868742</v>
      </c>
      <c r="E18" s="802">
        <v>0</v>
      </c>
      <c r="F18" s="802">
        <v>1270000</v>
      </c>
      <c r="G18" s="802">
        <v>1270000</v>
      </c>
      <c r="H18" s="802">
        <v>1270000</v>
      </c>
      <c r="I18" s="803">
        <v>1058742</v>
      </c>
      <c r="J18" s="804">
        <f t="shared" si="1"/>
        <v>4868742</v>
      </c>
      <c r="K18" s="767"/>
    </row>
    <row r="19" spans="1:11" ht="48.75" customHeight="1" x14ac:dyDescent="0.25">
      <c r="A19" s="776" t="s">
        <v>250</v>
      </c>
      <c r="B19" s="799" t="s">
        <v>892</v>
      </c>
      <c r="C19" s="796">
        <v>2018</v>
      </c>
      <c r="D19" s="801">
        <v>9895526</v>
      </c>
      <c r="E19" s="802">
        <v>0</v>
      </c>
      <c r="F19" s="802">
        <v>1668000</v>
      </c>
      <c r="G19" s="802">
        <v>1668000</v>
      </c>
      <c r="H19" s="802">
        <v>1668000</v>
      </c>
      <c r="I19" s="803">
        <v>4891526</v>
      </c>
      <c r="J19" s="804">
        <f t="shared" si="1"/>
        <v>9895526</v>
      </c>
      <c r="K19" s="767"/>
    </row>
    <row r="20" spans="1:11" ht="33.75" customHeight="1" x14ac:dyDescent="0.25">
      <c r="A20" s="776" t="s">
        <v>251</v>
      </c>
      <c r="B20" s="799" t="s">
        <v>893</v>
      </c>
      <c r="C20" s="796">
        <v>2018</v>
      </c>
      <c r="D20" s="805">
        <v>9042762</v>
      </c>
      <c r="E20" s="802">
        <v>0</v>
      </c>
      <c r="F20" s="802">
        <v>0</v>
      </c>
      <c r="G20" s="802">
        <v>1834504</v>
      </c>
      <c r="H20" s="802">
        <v>1834504</v>
      </c>
      <c r="I20" s="803">
        <v>5373754</v>
      </c>
      <c r="J20" s="787">
        <f t="shared" si="1"/>
        <v>9042762</v>
      </c>
      <c r="K20" s="767"/>
    </row>
    <row r="21" spans="1:11" ht="69" customHeight="1" x14ac:dyDescent="0.25">
      <c r="A21" s="776" t="s">
        <v>252</v>
      </c>
      <c r="B21" s="799" t="s">
        <v>894</v>
      </c>
      <c r="C21" s="796">
        <v>2018</v>
      </c>
      <c r="D21" s="801">
        <v>0</v>
      </c>
      <c r="E21" s="802">
        <v>0</v>
      </c>
      <c r="F21" s="802">
        <v>0</v>
      </c>
      <c r="G21" s="802">
        <v>0</v>
      </c>
      <c r="H21" s="802">
        <v>0</v>
      </c>
      <c r="I21" s="803">
        <v>0</v>
      </c>
      <c r="J21" s="804">
        <f>SUM(F21:I21)</f>
        <v>0</v>
      </c>
      <c r="K21" s="767"/>
    </row>
    <row r="22" spans="1:11" ht="34.5" customHeight="1" x14ac:dyDescent="0.25">
      <c r="A22" s="776" t="s">
        <v>253</v>
      </c>
      <c r="B22" s="799" t="s">
        <v>895</v>
      </c>
      <c r="C22" s="796">
        <v>2018</v>
      </c>
      <c r="D22" s="801">
        <v>25000000</v>
      </c>
      <c r="E22" s="802">
        <v>0</v>
      </c>
      <c r="F22" s="802">
        <v>0</v>
      </c>
      <c r="G22" s="802">
        <v>2777600</v>
      </c>
      <c r="H22" s="802">
        <v>2777600</v>
      </c>
      <c r="I22" s="803">
        <v>19444800</v>
      </c>
      <c r="J22" s="806">
        <f t="shared" si="1"/>
        <v>25000000</v>
      </c>
      <c r="K22" s="767"/>
    </row>
    <row r="23" spans="1:11" ht="28.5" customHeight="1" x14ac:dyDescent="0.2">
      <c r="A23" s="807"/>
      <c r="B23" s="808" t="s">
        <v>452</v>
      </c>
      <c r="C23" s="312"/>
      <c r="D23" s="313"/>
      <c r="E23" s="313"/>
      <c r="F23" s="313"/>
      <c r="G23" s="313"/>
      <c r="H23" s="313"/>
      <c r="I23" s="314"/>
      <c r="J23" s="315"/>
      <c r="K23" s="767"/>
    </row>
    <row r="24" spans="1:11" ht="34.5" customHeight="1" x14ac:dyDescent="0.2">
      <c r="A24" s="807"/>
      <c r="B24" s="809"/>
      <c r="C24" s="628"/>
      <c r="D24" s="527"/>
      <c r="E24" s="527"/>
      <c r="F24" s="527"/>
      <c r="G24" s="810"/>
      <c r="H24" s="810"/>
      <c r="I24" s="314"/>
      <c r="J24" s="811"/>
      <c r="K24" s="767"/>
    </row>
    <row r="25" spans="1:11" ht="30.75" customHeight="1" x14ac:dyDescent="0.2">
      <c r="A25" s="807"/>
      <c r="B25" s="808" t="s">
        <v>368</v>
      </c>
      <c r="C25" s="312"/>
      <c r="D25" s="313">
        <f t="shared" ref="D25:I25" si="2">SUM(D26:D26)</f>
        <v>0</v>
      </c>
      <c r="E25" s="313">
        <f t="shared" si="2"/>
        <v>0</v>
      </c>
      <c r="F25" s="313">
        <f t="shared" si="2"/>
        <v>0</v>
      </c>
      <c r="G25" s="313">
        <f t="shared" si="2"/>
        <v>0</v>
      </c>
      <c r="H25" s="313">
        <f t="shared" si="2"/>
        <v>0</v>
      </c>
      <c r="I25" s="314">
        <f t="shared" si="2"/>
        <v>0</v>
      </c>
      <c r="J25" s="315">
        <f>SUM(F25:I25)</f>
        <v>0</v>
      </c>
      <c r="K25" s="767"/>
    </row>
    <row r="26" spans="1:11" ht="21" customHeight="1" x14ac:dyDescent="0.2">
      <c r="A26" s="807"/>
      <c r="B26" s="812"/>
      <c r="C26" s="310"/>
      <c r="D26" s="164"/>
      <c r="E26" s="164"/>
      <c r="F26" s="164"/>
      <c r="G26" s="164"/>
      <c r="H26" s="164"/>
      <c r="I26" s="165"/>
      <c r="J26" s="311">
        <f>SUM(F26:I26)</f>
        <v>0</v>
      </c>
      <c r="K26" s="767"/>
    </row>
    <row r="27" spans="1:11" ht="21" customHeight="1" x14ac:dyDescent="0.2">
      <c r="A27" s="807"/>
      <c r="B27" s="813" t="s">
        <v>400</v>
      </c>
      <c r="C27" s="316"/>
      <c r="D27" s="317">
        <f t="shared" ref="D27:I27" si="3">SUM(D28:D28)</f>
        <v>0</v>
      </c>
      <c r="E27" s="317">
        <f t="shared" si="3"/>
        <v>0</v>
      </c>
      <c r="F27" s="317">
        <f t="shared" si="3"/>
        <v>0</v>
      </c>
      <c r="G27" s="317">
        <f t="shared" si="3"/>
        <v>0</v>
      </c>
      <c r="H27" s="317">
        <f t="shared" si="3"/>
        <v>0</v>
      </c>
      <c r="I27" s="318">
        <f t="shared" si="3"/>
        <v>0</v>
      </c>
      <c r="J27" s="315">
        <f>SUM(F27:I27)</f>
        <v>0</v>
      </c>
      <c r="K27" s="767"/>
    </row>
    <row r="28" spans="1:11" ht="21" customHeight="1" thickBot="1" x14ac:dyDescent="0.25">
      <c r="A28" s="814"/>
      <c r="B28" s="815"/>
      <c r="C28" s="310"/>
      <c r="D28" s="164"/>
      <c r="E28" s="164"/>
      <c r="F28" s="164"/>
      <c r="G28" s="164"/>
      <c r="H28" s="164"/>
      <c r="I28" s="165"/>
      <c r="J28" s="311">
        <f>SUM(F28:I28)</f>
        <v>0</v>
      </c>
      <c r="K28" s="767"/>
    </row>
    <row r="29" spans="1:11" ht="25.5" customHeight="1" thickBot="1" x14ac:dyDescent="0.25">
      <c r="A29" s="816"/>
      <c r="B29" s="817" t="s">
        <v>401</v>
      </c>
      <c r="C29" s="319"/>
      <c r="D29" s="818">
        <f t="shared" ref="D29:J29" si="4">D5+D7+D23+D25+D27</f>
        <v>235469877</v>
      </c>
      <c r="E29" s="818">
        <f t="shared" si="4"/>
        <v>8118704</v>
      </c>
      <c r="F29" s="818">
        <f t="shared" si="4"/>
        <v>19852000</v>
      </c>
      <c r="G29" s="818">
        <f t="shared" si="4"/>
        <v>21457694</v>
      </c>
      <c r="H29" s="818">
        <f t="shared" si="4"/>
        <v>17908050</v>
      </c>
      <c r="I29" s="819">
        <f t="shared" si="4"/>
        <v>62822429</v>
      </c>
      <c r="J29" s="820">
        <f t="shared" si="4"/>
        <v>122040173</v>
      </c>
      <c r="K29" s="767"/>
    </row>
    <row r="31" spans="1:11" ht="30.75" customHeight="1" x14ac:dyDescent="0.2">
      <c r="B31" s="1167" t="s">
        <v>896</v>
      </c>
      <c r="C31" s="1167"/>
    </row>
    <row r="32" spans="1:11" x14ac:dyDescent="0.2">
      <c r="B32" s="512"/>
      <c r="C32" s="513"/>
      <c r="D32" s="513"/>
      <c r="E32" s="513"/>
      <c r="F32" s="513"/>
      <c r="H32" s="514"/>
    </row>
    <row r="33" spans="2:6" x14ac:dyDescent="0.2">
      <c r="B33" s="514"/>
      <c r="C33" s="514"/>
      <c r="D33" s="514"/>
      <c r="E33" s="515"/>
      <c r="F33" s="515"/>
    </row>
    <row r="34" spans="2:6" x14ac:dyDescent="0.2">
      <c r="B34" s="514"/>
      <c r="C34" s="516"/>
      <c r="D34" s="516"/>
      <c r="E34" s="516"/>
      <c r="F34" s="515"/>
    </row>
    <row r="35" spans="2:6" x14ac:dyDescent="0.2">
      <c r="B35" s="514"/>
      <c r="C35" s="516"/>
      <c r="D35" s="516"/>
      <c r="E35" s="516"/>
      <c r="F35" s="516"/>
    </row>
    <row r="36" spans="2:6" x14ac:dyDescent="0.2">
      <c r="B36" s="514"/>
      <c r="C36" s="516"/>
      <c r="D36" s="516"/>
      <c r="E36" s="516"/>
      <c r="F36" s="515"/>
    </row>
    <row r="37" spans="2:6" x14ac:dyDescent="0.2">
      <c r="B37" s="512"/>
    </row>
    <row r="38" spans="2:6" x14ac:dyDescent="0.2">
      <c r="B38" s="512"/>
    </row>
    <row r="39" spans="2:6" x14ac:dyDescent="0.2">
      <c r="B39" s="514"/>
    </row>
    <row r="40" spans="2:6" x14ac:dyDescent="0.2">
      <c r="B40" s="514"/>
    </row>
    <row r="41" spans="2:6" x14ac:dyDescent="0.2">
      <c r="B41" s="514"/>
    </row>
    <row r="42" spans="2:6" x14ac:dyDescent="0.2">
      <c r="B42" s="514"/>
    </row>
  </sheetData>
  <mergeCells count="8">
    <mergeCell ref="J2:J3"/>
    <mergeCell ref="B31:C31"/>
    <mergeCell ref="F1:H1"/>
    <mergeCell ref="A2:A3"/>
    <mergeCell ref="B2:B3"/>
    <mergeCell ref="C2:C3"/>
    <mergeCell ref="D2:D3"/>
    <mergeCell ref="E2:E3"/>
  </mergeCells>
  <printOptions horizontalCentered="1"/>
  <pageMargins left="0.78740157480314965" right="0.78740157480314965" top="1.39" bottom="0.98425196850393704" header="0.78740157480314965" footer="0.78740157480314965"/>
  <pageSetup paperSize="9" scale="60" orientation="portrait" verticalDpi="300" r:id="rId1"/>
  <headerFooter alignWithMargins="0">
    <oddHeader>&amp;C&amp;"Times New Roman CE,Félkövér"&amp;12
Többéves kihatással járó döntésekből származó kötelezettségek
célok szerint, évenkénti bontásban&amp;R1. számú tájékoztató tábla a ../.....(....)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19"/>
  <sheetViews>
    <sheetView workbookViewId="0">
      <selection activeCell="L9" sqref="L9"/>
    </sheetView>
  </sheetViews>
  <sheetFormatPr defaultRowHeight="12.75" x14ac:dyDescent="0.2"/>
  <cols>
    <col min="2" max="2" width="14.5703125" customWidth="1"/>
    <col min="3" max="3" width="13.28515625" customWidth="1"/>
    <col min="4" max="4" width="12.85546875" customWidth="1"/>
    <col min="5" max="5" width="15.140625" customWidth="1"/>
    <col min="6" max="6" width="14.140625" customWidth="1"/>
    <col min="7" max="7" width="13.5703125" customWidth="1"/>
    <col min="8" max="8" width="19.140625" customWidth="1"/>
    <col min="9" max="9" width="14.42578125" customWidth="1"/>
    <col min="10" max="10" width="4.28515625" customWidth="1"/>
    <col min="258" max="258" width="14.5703125" customWidth="1"/>
    <col min="259" max="259" width="13.28515625" customWidth="1"/>
    <col min="260" max="260" width="12.85546875" customWidth="1"/>
    <col min="261" max="261" width="15.140625" customWidth="1"/>
    <col min="262" max="262" width="14.140625" customWidth="1"/>
    <col min="263" max="263" width="13.5703125" customWidth="1"/>
    <col min="264" max="264" width="19.140625" customWidth="1"/>
    <col min="265" max="265" width="14.42578125" customWidth="1"/>
    <col min="266" max="266" width="4.28515625" customWidth="1"/>
    <col min="514" max="514" width="14.5703125" customWidth="1"/>
    <col min="515" max="515" width="13.28515625" customWidth="1"/>
    <col min="516" max="516" width="12.85546875" customWidth="1"/>
    <col min="517" max="517" width="15.140625" customWidth="1"/>
    <col min="518" max="518" width="14.140625" customWidth="1"/>
    <col min="519" max="519" width="13.5703125" customWidth="1"/>
    <col min="520" max="520" width="19.140625" customWidth="1"/>
    <col min="521" max="521" width="14.42578125" customWidth="1"/>
    <col min="522" max="522" width="4.28515625" customWidth="1"/>
    <col min="770" max="770" width="14.5703125" customWidth="1"/>
    <col min="771" max="771" width="13.28515625" customWidth="1"/>
    <col min="772" max="772" width="12.85546875" customWidth="1"/>
    <col min="773" max="773" width="15.140625" customWidth="1"/>
    <col min="774" max="774" width="14.140625" customWidth="1"/>
    <col min="775" max="775" width="13.5703125" customWidth="1"/>
    <col min="776" max="776" width="19.140625" customWidth="1"/>
    <col min="777" max="777" width="14.42578125" customWidth="1"/>
    <col min="778" max="778" width="4.28515625" customWidth="1"/>
    <col min="1026" max="1026" width="14.5703125" customWidth="1"/>
    <col min="1027" max="1027" width="13.28515625" customWidth="1"/>
    <col min="1028" max="1028" width="12.85546875" customWidth="1"/>
    <col min="1029" max="1029" width="15.140625" customWidth="1"/>
    <col min="1030" max="1030" width="14.140625" customWidth="1"/>
    <col min="1031" max="1031" width="13.5703125" customWidth="1"/>
    <col min="1032" max="1032" width="19.140625" customWidth="1"/>
    <col min="1033" max="1033" width="14.42578125" customWidth="1"/>
    <col min="1034" max="1034" width="4.28515625" customWidth="1"/>
    <col min="1282" max="1282" width="14.5703125" customWidth="1"/>
    <col min="1283" max="1283" width="13.28515625" customWidth="1"/>
    <col min="1284" max="1284" width="12.85546875" customWidth="1"/>
    <col min="1285" max="1285" width="15.140625" customWidth="1"/>
    <col min="1286" max="1286" width="14.140625" customWidth="1"/>
    <col min="1287" max="1287" width="13.5703125" customWidth="1"/>
    <col min="1288" max="1288" width="19.140625" customWidth="1"/>
    <col min="1289" max="1289" width="14.42578125" customWidth="1"/>
    <col min="1290" max="1290" width="4.28515625" customWidth="1"/>
    <col min="1538" max="1538" width="14.5703125" customWidth="1"/>
    <col min="1539" max="1539" width="13.28515625" customWidth="1"/>
    <col min="1540" max="1540" width="12.85546875" customWidth="1"/>
    <col min="1541" max="1541" width="15.140625" customWidth="1"/>
    <col min="1542" max="1542" width="14.140625" customWidth="1"/>
    <col min="1543" max="1543" width="13.5703125" customWidth="1"/>
    <col min="1544" max="1544" width="19.140625" customWidth="1"/>
    <col min="1545" max="1545" width="14.42578125" customWidth="1"/>
    <col min="1546" max="1546" width="4.28515625" customWidth="1"/>
    <col min="1794" max="1794" width="14.5703125" customWidth="1"/>
    <col min="1795" max="1795" width="13.28515625" customWidth="1"/>
    <col min="1796" max="1796" width="12.85546875" customWidth="1"/>
    <col min="1797" max="1797" width="15.140625" customWidth="1"/>
    <col min="1798" max="1798" width="14.140625" customWidth="1"/>
    <col min="1799" max="1799" width="13.5703125" customWidth="1"/>
    <col min="1800" max="1800" width="19.140625" customWidth="1"/>
    <col min="1801" max="1801" width="14.42578125" customWidth="1"/>
    <col min="1802" max="1802" width="4.28515625" customWidth="1"/>
    <col min="2050" max="2050" width="14.5703125" customWidth="1"/>
    <col min="2051" max="2051" width="13.28515625" customWidth="1"/>
    <col min="2052" max="2052" width="12.85546875" customWidth="1"/>
    <col min="2053" max="2053" width="15.140625" customWidth="1"/>
    <col min="2054" max="2054" width="14.140625" customWidth="1"/>
    <col min="2055" max="2055" width="13.5703125" customWidth="1"/>
    <col min="2056" max="2056" width="19.140625" customWidth="1"/>
    <col min="2057" max="2057" width="14.42578125" customWidth="1"/>
    <col min="2058" max="2058" width="4.28515625" customWidth="1"/>
    <col min="2306" max="2306" width="14.5703125" customWidth="1"/>
    <col min="2307" max="2307" width="13.28515625" customWidth="1"/>
    <col min="2308" max="2308" width="12.85546875" customWidth="1"/>
    <col min="2309" max="2309" width="15.140625" customWidth="1"/>
    <col min="2310" max="2310" width="14.140625" customWidth="1"/>
    <col min="2311" max="2311" width="13.5703125" customWidth="1"/>
    <col min="2312" max="2312" width="19.140625" customWidth="1"/>
    <col min="2313" max="2313" width="14.42578125" customWidth="1"/>
    <col min="2314" max="2314" width="4.28515625" customWidth="1"/>
    <col min="2562" max="2562" width="14.5703125" customWidth="1"/>
    <col min="2563" max="2563" width="13.28515625" customWidth="1"/>
    <col min="2564" max="2564" width="12.85546875" customWidth="1"/>
    <col min="2565" max="2565" width="15.140625" customWidth="1"/>
    <col min="2566" max="2566" width="14.140625" customWidth="1"/>
    <col min="2567" max="2567" width="13.5703125" customWidth="1"/>
    <col min="2568" max="2568" width="19.140625" customWidth="1"/>
    <col min="2569" max="2569" width="14.42578125" customWidth="1"/>
    <col min="2570" max="2570" width="4.28515625" customWidth="1"/>
    <col min="2818" max="2818" width="14.5703125" customWidth="1"/>
    <col min="2819" max="2819" width="13.28515625" customWidth="1"/>
    <col min="2820" max="2820" width="12.85546875" customWidth="1"/>
    <col min="2821" max="2821" width="15.140625" customWidth="1"/>
    <col min="2822" max="2822" width="14.140625" customWidth="1"/>
    <col min="2823" max="2823" width="13.5703125" customWidth="1"/>
    <col min="2824" max="2824" width="19.140625" customWidth="1"/>
    <col min="2825" max="2825" width="14.42578125" customWidth="1"/>
    <col min="2826" max="2826" width="4.28515625" customWidth="1"/>
    <col min="3074" max="3074" width="14.5703125" customWidth="1"/>
    <col min="3075" max="3075" width="13.28515625" customWidth="1"/>
    <col min="3076" max="3076" width="12.85546875" customWidth="1"/>
    <col min="3077" max="3077" width="15.140625" customWidth="1"/>
    <col min="3078" max="3078" width="14.140625" customWidth="1"/>
    <col min="3079" max="3079" width="13.5703125" customWidth="1"/>
    <col min="3080" max="3080" width="19.140625" customWidth="1"/>
    <col min="3081" max="3081" width="14.42578125" customWidth="1"/>
    <col min="3082" max="3082" width="4.28515625" customWidth="1"/>
    <col min="3330" max="3330" width="14.5703125" customWidth="1"/>
    <col min="3331" max="3331" width="13.28515625" customWidth="1"/>
    <col min="3332" max="3332" width="12.85546875" customWidth="1"/>
    <col min="3333" max="3333" width="15.140625" customWidth="1"/>
    <col min="3334" max="3334" width="14.140625" customWidth="1"/>
    <col min="3335" max="3335" width="13.5703125" customWidth="1"/>
    <col min="3336" max="3336" width="19.140625" customWidth="1"/>
    <col min="3337" max="3337" width="14.42578125" customWidth="1"/>
    <col min="3338" max="3338" width="4.28515625" customWidth="1"/>
    <col min="3586" max="3586" width="14.5703125" customWidth="1"/>
    <col min="3587" max="3587" width="13.28515625" customWidth="1"/>
    <col min="3588" max="3588" width="12.85546875" customWidth="1"/>
    <col min="3589" max="3589" width="15.140625" customWidth="1"/>
    <col min="3590" max="3590" width="14.140625" customWidth="1"/>
    <col min="3591" max="3591" width="13.5703125" customWidth="1"/>
    <col min="3592" max="3592" width="19.140625" customWidth="1"/>
    <col min="3593" max="3593" width="14.42578125" customWidth="1"/>
    <col min="3594" max="3594" width="4.28515625" customWidth="1"/>
    <col min="3842" max="3842" width="14.5703125" customWidth="1"/>
    <col min="3843" max="3843" width="13.28515625" customWidth="1"/>
    <col min="3844" max="3844" width="12.85546875" customWidth="1"/>
    <col min="3845" max="3845" width="15.140625" customWidth="1"/>
    <col min="3846" max="3846" width="14.140625" customWidth="1"/>
    <col min="3847" max="3847" width="13.5703125" customWidth="1"/>
    <col min="3848" max="3848" width="19.140625" customWidth="1"/>
    <col min="3849" max="3849" width="14.42578125" customWidth="1"/>
    <col min="3850" max="3850" width="4.28515625" customWidth="1"/>
    <col min="4098" max="4098" width="14.5703125" customWidth="1"/>
    <col min="4099" max="4099" width="13.28515625" customWidth="1"/>
    <col min="4100" max="4100" width="12.85546875" customWidth="1"/>
    <col min="4101" max="4101" width="15.140625" customWidth="1"/>
    <col min="4102" max="4102" width="14.140625" customWidth="1"/>
    <col min="4103" max="4103" width="13.5703125" customWidth="1"/>
    <col min="4104" max="4104" width="19.140625" customWidth="1"/>
    <col min="4105" max="4105" width="14.42578125" customWidth="1"/>
    <col min="4106" max="4106" width="4.28515625" customWidth="1"/>
    <col min="4354" max="4354" width="14.5703125" customWidth="1"/>
    <col min="4355" max="4355" width="13.28515625" customWidth="1"/>
    <col min="4356" max="4356" width="12.85546875" customWidth="1"/>
    <col min="4357" max="4357" width="15.140625" customWidth="1"/>
    <col min="4358" max="4358" width="14.140625" customWidth="1"/>
    <col min="4359" max="4359" width="13.5703125" customWidth="1"/>
    <col min="4360" max="4360" width="19.140625" customWidth="1"/>
    <col min="4361" max="4361" width="14.42578125" customWidth="1"/>
    <col min="4362" max="4362" width="4.28515625" customWidth="1"/>
    <col min="4610" max="4610" width="14.5703125" customWidth="1"/>
    <col min="4611" max="4611" width="13.28515625" customWidth="1"/>
    <col min="4612" max="4612" width="12.85546875" customWidth="1"/>
    <col min="4613" max="4613" width="15.140625" customWidth="1"/>
    <col min="4614" max="4614" width="14.140625" customWidth="1"/>
    <col min="4615" max="4615" width="13.5703125" customWidth="1"/>
    <col min="4616" max="4616" width="19.140625" customWidth="1"/>
    <col min="4617" max="4617" width="14.42578125" customWidth="1"/>
    <col min="4618" max="4618" width="4.28515625" customWidth="1"/>
    <col min="4866" max="4866" width="14.5703125" customWidth="1"/>
    <col min="4867" max="4867" width="13.28515625" customWidth="1"/>
    <col min="4868" max="4868" width="12.85546875" customWidth="1"/>
    <col min="4869" max="4869" width="15.140625" customWidth="1"/>
    <col min="4870" max="4870" width="14.140625" customWidth="1"/>
    <col min="4871" max="4871" width="13.5703125" customWidth="1"/>
    <col min="4872" max="4872" width="19.140625" customWidth="1"/>
    <col min="4873" max="4873" width="14.42578125" customWidth="1"/>
    <col min="4874" max="4874" width="4.28515625" customWidth="1"/>
    <col min="5122" max="5122" width="14.5703125" customWidth="1"/>
    <col min="5123" max="5123" width="13.28515625" customWidth="1"/>
    <col min="5124" max="5124" width="12.85546875" customWidth="1"/>
    <col min="5125" max="5125" width="15.140625" customWidth="1"/>
    <col min="5126" max="5126" width="14.140625" customWidth="1"/>
    <col min="5127" max="5127" width="13.5703125" customWidth="1"/>
    <col min="5128" max="5128" width="19.140625" customWidth="1"/>
    <col min="5129" max="5129" width="14.42578125" customWidth="1"/>
    <col min="5130" max="5130" width="4.28515625" customWidth="1"/>
    <col min="5378" max="5378" width="14.5703125" customWidth="1"/>
    <col min="5379" max="5379" width="13.28515625" customWidth="1"/>
    <col min="5380" max="5380" width="12.85546875" customWidth="1"/>
    <col min="5381" max="5381" width="15.140625" customWidth="1"/>
    <col min="5382" max="5382" width="14.140625" customWidth="1"/>
    <col min="5383" max="5383" width="13.5703125" customWidth="1"/>
    <col min="5384" max="5384" width="19.140625" customWidth="1"/>
    <col min="5385" max="5385" width="14.42578125" customWidth="1"/>
    <col min="5386" max="5386" width="4.28515625" customWidth="1"/>
    <col min="5634" max="5634" width="14.5703125" customWidth="1"/>
    <col min="5635" max="5635" width="13.28515625" customWidth="1"/>
    <col min="5636" max="5636" width="12.85546875" customWidth="1"/>
    <col min="5637" max="5637" width="15.140625" customWidth="1"/>
    <col min="5638" max="5638" width="14.140625" customWidth="1"/>
    <col min="5639" max="5639" width="13.5703125" customWidth="1"/>
    <col min="5640" max="5640" width="19.140625" customWidth="1"/>
    <col min="5641" max="5641" width="14.42578125" customWidth="1"/>
    <col min="5642" max="5642" width="4.28515625" customWidth="1"/>
    <col min="5890" max="5890" width="14.5703125" customWidth="1"/>
    <col min="5891" max="5891" width="13.28515625" customWidth="1"/>
    <col min="5892" max="5892" width="12.85546875" customWidth="1"/>
    <col min="5893" max="5893" width="15.140625" customWidth="1"/>
    <col min="5894" max="5894" width="14.140625" customWidth="1"/>
    <col min="5895" max="5895" width="13.5703125" customWidth="1"/>
    <col min="5896" max="5896" width="19.140625" customWidth="1"/>
    <col min="5897" max="5897" width="14.42578125" customWidth="1"/>
    <col min="5898" max="5898" width="4.28515625" customWidth="1"/>
    <col min="6146" max="6146" width="14.5703125" customWidth="1"/>
    <col min="6147" max="6147" width="13.28515625" customWidth="1"/>
    <col min="6148" max="6148" width="12.85546875" customWidth="1"/>
    <col min="6149" max="6149" width="15.140625" customWidth="1"/>
    <col min="6150" max="6150" width="14.140625" customWidth="1"/>
    <col min="6151" max="6151" width="13.5703125" customWidth="1"/>
    <col min="6152" max="6152" width="19.140625" customWidth="1"/>
    <col min="6153" max="6153" width="14.42578125" customWidth="1"/>
    <col min="6154" max="6154" width="4.28515625" customWidth="1"/>
    <col min="6402" max="6402" width="14.5703125" customWidth="1"/>
    <col min="6403" max="6403" width="13.28515625" customWidth="1"/>
    <col min="6404" max="6404" width="12.85546875" customWidth="1"/>
    <col min="6405" max="6405" width="15.140625" customWidth="1"/>
    <col min="6406" max="6406" width="14.140625" customWidth="1"/>
    <col min="6407" max="6407" width="13.5703125" customWidth="1"/>
    <col min="6408" max="6408" width="19.140625" customWidth="1"/>
    <col min="6409" max="6409" width="14.42578125" customWidth="1"/>
    <col min="6410" max="6410" width="4.28515625" customWidth="1"/>
    <col min="6658" max="6658" width="14.5703125" customWidth="1"/>
    <col min="6659" max="6659" width="13.28515625" customWidth="1"/>
    <col min="6660" max="6660" width="12.85546875" customWidth="1"/>
    <col min="6661" max="6661" width="15.140625" customWidth="1"/>
    <col min="6662" max="6662" width="14.140625" customWidth="1"/>
    <col min="6663" max="6663" width="13.5703125" customWidth="1"/>
    <col min="6664" max="6664" width="19.140625" customWidth="1"/>
    <col min="6665" max="6665" width="14.42578125" customWidth="1"/>
    <col min="6666" max="6666" width="4.28515625" customWidth="1"/>
    <col min="6914" max="6914" width="14.5703125" customWidth="1"/>
    <col min="6915" max="6915" width="13.28515625" customWidth="1"/>
    <col min="6916" max="6916" width="12.85546875" customWidth="1"/>
    <col min="6917" max="6917" width="15.140625" customWidth="1"/>
    <col min="6918" max="6918" width="14.140625" customWidth="1"/>
    <col min="6919" max="6919" width="13.5703125" customWidth="1"/>
    <col min="6920" max="6920" width="19.140625" customWidth="1"/>
    <col min="6921" max="6921" width="14.42578125" customWidth="1"/>
    <col min="6922" max="6922" width="4.28515625" customWidth="1"/>
    <col min="7170" max="7170" width="14.5703125" customWidth="1"/>
    <col min="7171" max="7171" width="13.28515625" customWidth="1"/>
    <col min="7172" max="7172" width="12.85546875" customWidth="1"/>
    <col min="7173" max="7173" width="15.140625" customWidth="1"/>
    <col min="7174" max="7174" width="14.140625" customWidth="1"/>
    <col min="7175" max="7175" width="13.5703125" customWidth="1"/>
    <col min="7176" max="7176" width="19.140625" customWidth="1"/>
    <col min="7177" max="7177" width="14.42578125" customWidth="1"/>
    <col min="7178" max="7178" width="4.28515625" customWidth="1"/>
    <col min="7426" max="7426" width="14.5703125" customWidth="1"/>
    <col min="7427" max="7427" width="13.28515625" customWidth="1"/>
    <col min="7428" max="7428" width="12.85546875" customWidth="1"/>
    <col min="7429" max="7429" width="15.140625" customWidth="1"/>
    <col min="7430" max="7430" width="14.140625" customWidth="1"/>
    <col min="7431" max="7431" width="13.5703125" customWidth="1"/>
    <col min="7432" max="7432" width="19.140625" customWidth="1"/>
    <col min="7433" max="7433" width="14.42578125" customWidth="1"/>
    <col min="7434" max="7434" width="4.28515625" customWidth="1"/>
    <col min="7682" max="7682" width="14.5703125" customWidth="1"/>
    <col min="7683" max="7683" width="13.28515625" customWidth="1"/>
    <col min="7684" max="7684" width="12.85546875" customWidth="1"/>
    <col min="7685" max="7685" width="15.140625" customWidth="1"/>
    <col min="7686" max="7686" width="14.140625" customWidth="1"/>
    <col min="7687" max="7687" width="13.5703125" customWidth="1"/>
    <col min="7688" max="7688" width="19.140625" customWidth="1"/>
    <col min="7689" max="7689" width="14.42578125" customWidth="1"/>
    <col min="7690" max="7690" width="4.28515625" customWidth="1"/>
    <col min="7938" max="7938" width="14.5703125" customWidth="1"/>
    <col min="7939" max="7939" width="13.28515625" customWidth="1"/>
    <col min="7940" max="7940" width="12.85546875" customWidth="1"/>
    <col min="7941" max="7941" width="15.140625" customWidth="1"/>
    <col min="7942" max="7942" width="14.140625" customWidth="1"/>
    <col min="7943" max="7943" width="13.5703125" customWidth="1"/>
    <col min="7944" max="7944" width="19.140625" customWidth="1"/>
    <col min="7945" max="7945" width="14.42578125" customWidth="1"/>
    <col min="7946" max="7946" width="4.28515625" customWidth="1"/>
    <col min="8194" max="8194" width="14.5703125" customWidth="1"/>
    <col min="8195" max="8195" width="13.28515625" customWidth="1"/>
    <col min="8196" max="8196" width="12.85546875" customWidth="1"/>
    <col min="8197" max="8197" width="15.140625" customWidth="1"/>
    <col min="8198" max="8198" width="14.140625" customWidth="1"/>
    <col min="8199" max="8199" width="13.5703125" customWidth="1"/>
    <col min="8200" max="8200" width="19.140625" customWidth="1"/>
    <col min="8201" max="8201" width="14.42578125" customWidth="1"/>
    <col min="8202" max="8202" width="4.28515625" customWidth="1"/>
    <col min="8450" max="8450" width="14.5703125" customWidth="1"/>
    <col min="8451" max="8451" width="13.28515625" customWidth="1"/>
    <col min="8452" max="8452" width="12.85546875" customWidth="1"/>
    <col min="8453" max="8453" width="15.140625" customWidth="1"/>
    <col min="8454" max="8454" width="14.140625" customWidth="1"/>
    <col min="8455" max="8455" width="13.5703125" customWidth="1"/>
    <col min="8456" max="8456" width="19.140625" customWidth="1"/>
    <col min="8457" max="8457" width="14.42578125" customWidth="1"/>
    <col min="8458" max="8458" width="4.28515625" customWidth="1"/>
    <col min="8706" max="8706" width="14.5703125" customWidth="1"/>
    <col min="8707" max="8707" width="13.28515625" customWidth="1"/>
    <col min="8708" max="8708" width="12.85546875" customWidth="1"/>
    <col min="8709" max="8709" width="15.140625" customWidth="1"/>
    <col min="8710" max="8710" width="14.140625" customWidth="1"/>
    <col min="8711" max="8711" width="13.5703125" customWidth="1"/>
    <col min="8712" max="8712" width="19.140625" customWidth="1"/>
    <col min="8713" max="8713" width="14.42578125" customWidth="1"/>
    <col min="8714" max="8714" width="4.28515625" customWidth="1"/>
    <col min="8962" max="8962" width="14.5703125" customWidth="1"/>
    <col min="8963" max="8963" width="13.28515625" customWidth="1"/>
    <col min="8964" max="8964" width="12.85546875" customWidth="1"/>
    <col min="8965" max="8965" width="15.140625" customWidth="1"/>
    <col min="8966" max="8966" width="14.140625" customWidth="1"/>
    <col min="8967" max="8967" width="13.5703125" customWidth="1"/>
    <col min="8968" max="8968" width="19.140625" customWidth="1"/>
    <col min="8969" max="8969" width="14.42578125" customWidth="1"/>
    <col min="8970" max="8970" width="4.28515625" customWidth="1"/>
    <col min="9218" max="9218" width="14.5703125" customWidth="1"/>
    <col min="9219" max="9219" width="13.28515625" customWidth="1"/>
    <col min="9220" max="9220" width="12.85546875" customWidth="1"/>
    <col min="9221" max="9221" width="15.140625" customWidth="1"/>
    <col min="9222" max="9222" width="14.140625" customWidth="1"/>
    <col min="9223" max="9223" width="13.5703125" customWidth="1"/>
    <col min="9224" max="9224" width="19.140625" customWidth="1"/>
    <col min="9225" max="9225" width="14.42578125" customWidth="1"/>
    <col min="9226" max="9226" width="4.28515625" customWidth="1"/>
    <col min="9474" max="9474" width="14.5703125" customWidth="1"/>
    <col min="9475" max="9475" width="13.28515625" customWidth="1"/>
    <col min="9476" max="9476" width="12.85546875" customWidth="1"/>
    <col min="9477" max="9477" width="15.140625" customWidth="1"/>
    <col min="9478" max="9478" width="14.140625" customWidth="1"/>
    <col min="9479" max="9479" width="13.5703125" customWidth="1"/>
    <col min="9480" max="9480" width="19.140625" customWidth="1"/>
    <col min="9481" max="9481" width="14.42578125" customWidth="1"/>
    <col min="9482" max="9482" width="4.28515625" customWidth="1"/>
    <col min="9730" max="9730" width="14.5703125" customWidth="1"/>
    <col min="9731" max="9731" width="13.28515625" customWidth="1"/>
    <col min="9732" max="9732" width="12.85546875" customWidth="1"/>
    <col min="9733" max="9733" width="15.140625" customWidth="1"/>
    <col min="9734" max="9734" width="14.140625" customWidth="1"/>
    <col min="9735" max="9735" width="13.5703125" customWidth="1"/>
    <col min="9736" max="9736" width="19.140625" customWidth="1"/>
    <col min="9737" max="9737" width="14.42578125" customWidth="1"/>
    <col min="9738" max="9738" width="4.28515625" customWidth="1"/>
    <col min="9986" max="9986" width="14.5703125" customWidth="1"/>
    <col min="9987" max="9987" width="13.28515625" customWidth="1"/>
    <col min="9988" max="9988" width="12.85546875" customWidth="1"/>
    <col min="9989" max="9989" width="15.140625" customWidth="1"/>
    <col min="9990" max="9990" width="14.140625" customWidth="1"/>
    <col min="9991" max="9991" width="13.5703125" customWidth="1"/>
    <col min="9992" max="9992" width="19.140625" customWidth="1"/>
    <col min="9993" max="9993" width="14.42578125" customWidth="1"/>
    <col min="9994" max="9994" width="4.28515625" customWidth="1"/>
    <col min="10242" max="10242" width="14.5703125" customWidth="1"/>
    <col min="10243" max="10243" width="13.28515625" customWidth="1"/>
    <col min="10244" max="10244" width="12.85546875" customWidth="1"/>
    <col min="10245" max="10245" width="15.140625" customWidth="1"/>
    <col min="10246" max="10246" width="14.140625" customWidth="1"/>
    <col min="10247" max="10247" width="13.5703125" customWidth="1"/>
    <col min="10248" max="10248" width="19.140625" customWidth="1"/>
    <col min="10249" max="10249" width="14.42578125" customWidth="1"/>
    <col min="10250" max="10250" width="4.28515625" customWidth="1"/>
    <col min="10498" max="10498" width="14.5703125" customWidth="1"/>
    <col min="10499" max="10499" width="13.28515625" customWidth="1"/>
    <col min="10500" max="10500" width="12.85546875" customWidth="1"/>
    <col min="10501" max="10501" width="15.140625" customWidth="1"/>
    <col min="10502" max="10502" width="14.140625" customWidth="1"/>
    <col min="10503" max="10503" width="13.5703125" customWidth="1"/>
    <col min="10504" max="10504" width="19.140625" customWidth="1"/>
    <col min="10505" max="10505" width="14.42578125" customWidth="1"/>
    <col min="10506" max="10506" width="4.28515625" customWidth="1"/>
    <col min="10754" max="10754" width="14.5703125" customWidth="1"/>
    <col min="10755" max="10755" width="13.28515625" customWidth="1"/>
    <col min="10756" max="10756" width="12.85546875" customWidth="1"/>
    <col min="10757" max="10757" width="15.140625" customWidth="1"/>
    <col min="10758" max="10758" width="14.140625" customWidth="1"/>
    <col min="10759" max="10759" width="13.5703125" customWidth="1"/>
    <col min="10760" max="10760" width="19.140625" customWidth="1"/>
    <col min="10761" max="10761" width="14.42578125" customWidth="1"/>
    <col min="10762" max="10762" width="4.28515625" customWidth="1"/>
    <col min="11010" max="11010" width="14.5703125" customWidth="1"/>
    <col min="11011" max="11011" width="13.28515625" customWidth="1"/>
    <col min="11012" max="11012" width="12.85546875" customWidth="1"/>
    <col min="11013" max="11013" width="15.140625" customWidth="1"/>
    <col min="11014" max="11014" width="14.140625" customWidth="1"/>
    <col min="11015" max="11015" width="13.5703125" customWidth="1"/>
    <col min="11016" max="11016" width="19.140625" customWidth="1"/>
    <col min="11017" max="11017" width="14.42578125" customWidth="1"/>
    <col min="11018" max="11018" width="4.28515625" customWidth="1"/>
    <col min="11266" max="11266" width="14.5703125" customWidth="1"/>
    <col min="11267" max="11267" width="13.28515625" customWidth="1"/>
    <col min="11268" max="11268" width="12.85546875" customWidth="1"/>
    <col min="11269" max="11269" width="15.140625" customWidth="1"/>
    <col min="11270" max="11270" width="14.140625" customWidth="1"/>
    <col min="11271" max="11271" width="13.5703125" customWidth="1"/>
    <col min="11272" max="11272" width="19.140625" customWidth="1"/>
    <col min="11273" max="11273" width="14.42578125" customWidth="1"/>
    <col min="11274" max="11274" width="4.28515625" customWidth="1"/>
    <col min="11522" max="11522" width="14.5703125" customWidth="1"/>
    <col min="11523" max="11523" width="13.28515625" customWidth="1"/>
    <col min="11524" max="11524" width="12.85546875" customWidth="1"/>
    <col min="11525" max="11525" width="15.140625" customWidth="1"/>
    <col min="11526" max="11526" width="14.140625" customWidth="1"/>
    <col min="11527" max="11527" width="13.5703125" customWidth="1"/>
    <col min="11528" max="11528" width="19.140625" customWidth="1"/>
    <col min="11529" max="11529" width="14.42578125" customWidth="1"/>
    <col min="11530" max="11530" width="4.28515625" customWidth="1"/>
    <col min="11778" max="11778" width="14.5703125" customWidth="1"/>
    <col min="11779" max="11779" width="13.28515625" customWidth="1"/>
    <col min="11780" max="11780" width="12.85546875" customWidth="1"/>
    <col min="11781" max="11781" width="15.140625" customWidth="1"/>
    <col min="11782" max="11782" width="14.140625" customWidth="1"/>
    <col min="11783" max="11783" width="13.5703125" customWidth="1"/>
    <col min="11784" max="11784" width="19.140625" customWidth="1"/>
    <col min="11785" max="11785" width="14.42578125" customWidth="1"/>
    <col min="11786" max="11786" width="4.28515625" customWidth="1"/>
    <col min="12034" max="12034" width="14.5703125" customWidth="1"/>
    <col min="12035" max="12035" width="13.28515625" customWidth="1"/>
    <col min="12036" max="12036" width="12.85546875" customWidth="1"/>
    <col min="12037" max="12037" width="15.140625" customWidth="1"/>
    <col min="12038" max="12038" width="14.140625" customWidth="1"/>
    <col min="12039" max="12039" width="13.5703125" customWidth="1"/>
    <col min="12040" max="12040" width="19.140625" customWidth="1"/>
    <col min="12041" max="12041" width="14.42578125" customWidth="1"/>
    <col min="12042" max="12042" width="4.28515625" customWidth="1"/>
    <col min="12290" max="12290" width="14.5703125" customWidth="1"/>
    <col min="12291" max="12291" width="13.28515625" customWidth="1"/>
    <col min="12292" max="12292" width="12.85546875" customWidth="1"/>
    <col min="12293" max="12293" width="15.140625" customWidth="1"/>
    <col min="12294" max="12294" width="14.140625" customWidth="1"/>
    <col min="12295" max="12295" width="13.5703125" customWidth="1"/>
    <col min="12296" max="12296" width="19.140625" customWidth="1"/>
    <col min="12297" max="12297" width="14.42578125" customWidth="1"/>
    <col min="12298" max="12298" width="4.28515625" customWidth="1"/>
    <col min="12546" max="12546" width="14.5703125" customWidth="1"/>
    <col min="12547" max="12547" width="13.28515625" customWidth="1"/>
    <col min="12548" max="12548" width="12.85546875" customWidth="1"/>
    <col min="12549" max="12549" width="15.140625" customWidth="1"/>
    <col min="12550" max="12550" width="14.140625" customWidth="1"/>
    <col min="12551" max="12551" width="13.5703125" customWidth="1"/>
    <col min="12552" max="12552" width="19.140625" customWidth="1"/>
    <col min="12553" max="12553" width="14.42578125" customWidth="1"/>
    <col min="12554" max="12554" width="4.28515625" customWidth="1"/>
    <col min="12802" max="12802" width="14.5703125" customWidth="1"/>
    <col min="12803" max="12803" width="13.28515625" customWidth="1"/>
    <col min="12804" max="12804" width="12.85546875" customWidth="1"/>
    <col min="12805" max="12805" width="15.140625" customWidth="1"/>
    <col min="12806" max="12806" width="14.140625" customWidth="1"/>
    <col min="12807" max="12807" width="13.5703125" customWidth="1"/>
    <col min="12808" max="12808" width="19.140625" customWidth="1"/>
    <col min="12809" max="12809" width="14.42578125" customWidth="1"/>
    <col min="12810" max="12810" width="4.28515625" customWidth="1"/>
    <col min="13058" max="13058" width="14.5703125" customWidth="1"/>
    <col min="13059" max="13059" width="13.28515625" customWidth="1"/>
    <col min="13060" max="13060" width="12.85546875" customWidth="1"/>
    <col min="13061" max="13061" width="15.140625" customWidth="1"/>
    <col min="13062" max="13062" width="14.140625" customWidth="1"/>
    <col min="13063" max="13063" width="13.5703125" customWidth="1"/>
    <col min="13064" max="13064" width="19.140625" customWidth="1"/>
    <col min="13065" max="13065" width="14.42578125" customWidth="1"/>
    <col min="13066" max="13066" width="4.28515625" customWidth="1"/>
    <col min="13314" max="13314" width="14.5703125" customWidth="1"/>
    <col min="13315" max="13315" width="13.28515625" customWidth="1"/>
    <col min="13316" max="13316" width="12.85546875" customWidth="1"/>
    <col min="13317" max="13317" width="15.140625" customWidth="1"/>
    <col min="13318" max="13318" width="14.140625" customWidth="1"/>
    <col min="13319" max="13319" width="13.5703125" customWidth="1"/>
    <col min="13320" max="13320" width="19.140625" customWidth="1"/>
    <col min="13321" max="13321" width="14.42578125" customWidth="1"/>
    <col min="13322" max="13322" width="4.28515625" customWidth="1"/>
    <col min="13570" max="13570" width="14.5703125" customWidth="1"/>
    <col min="13571" max="13571" width="13.28515625" customWidth="1"/>
    <col min="13572" max="13572" width="12.85546875" customWidth="1"/>
    <col min="13573" max="13573" width="15.140625" customWidth="1"/>
    <col min="13574" max="13574" width="14.140625" customWidth="1"/>
    <col min="13575" max="13575" width="13.5703125" customWidth="1"/>
    <col min="13576" max="13576" width="19.140625" customWidth="1"/>
    <col min="13577" max="13577" width="14.42578125" customWidth="1"/>
    <col min="13578" max="13578" width="4.28515625" customWidth="1"/>
    <col min="13826" max="13826" width="14.5703125" customWidth="1"/>
    <col min="13827" max="13827" width="13.28515625" customWidth="1"/>
    <col min="13828" max="13828" width="12.85546875" customWidth="1"/>
    <col min="13829" max="13829" width="15.140625" customWidth="1"/>
    <col min="13830" max="13830" width="14.140625" customWidth="1"/>
    <col min="13831" max="13831" width="13.5703125" customWidth="1"/>
    <col min="13832" max="13832" width="19.140625" customWidth="1"/>
    <col min="13833" max="13833" width="14.42578125" customWidth="1"/>
    <col min="13834" max="13834" width="4.28515625" customWidth="1"/>
    <col min="14082" max="14082" width="14.5703125" customWidth="1"/>
    <col min="14083" max="14083" width="13.28515625" customWidth="1"/>
    <col min="14084" max="14084" width="12.85546875" customWidth="1"/>
    <col min="14085" max="14085" width="15.140625" customWidth="1"/>
    <col min="14086" max="14086" width="14.140625" customWidth="1"/>
    <col min="14087" max="14087" width="13.5703125" customWidth="1"/>
    <col min="14088" max="14088" width="19.140625" customWidth="1"/>
    <col min="14089" max="14089" width="14.42578125" customWidth="1"/>
    <col min="14090" max="14090" width="4.28515625" customWidth="1"/>
    <col min="14338" max="14338" width="14.5703125" customWidth="1"/>
    <col min="14339" max="14339" width="13.28515625" customWidth="1"/>
    <col min="14340" max="14340" width="12.85546875" customWidth="1"/>
    <col min="14341" max="14341" width="15.140625" customWidth="1"/>
    <col min="14342" max="14342" width="14.140625" customWidth="1"/>
    <col min="14343" max="14343" width="13.5703125" customWidth="1"/>
    <col min="14344" max="14344" width="19.140625" customWidth="1"/>
    <col min="14345" max="14345" width="14.42578125" customWidth="1"/>
    <col min="14346" max="14346" width="4.28515625" customWidth="1"/>
    <col min="14594" max="14594" width="14.5703125" customWidth="1"/>
    <col min="14595" max="14595" width="13.28515625" customWidth="1"/>
    <col min="14596" max="14596" width="12.85546875" customWidth="1"/>
    <col min="14597" max="14597" width="15.140625" customWidth="1"/>
    <col min="14598" max="14598" width="14.140625" customWidth="1"/>
    <col min="14599" max="14599" width="13.5703125" customWidth="1"/>
    <col min="14600" max="14600" width="19.140625" customWidth="1"/>
    <col min="14601" max="14601" width="14.42578125" customWidth="1"/>
    <col min="14602" max="14602" width="4.28515625" customWidth="1"/>
    <col min="14850" max="14850" width="14.5703125" customWidth="1"/>
    <col min="14851" max="14851" width="13.28515625" customWidth="1"/>
    <col min="14852" max="14852" width="12.85546875" customWidth="1"/>
    <col min="14853" max="14853" width="15.140625" customWidth="1"/>
    <col min="14854" max="14854" width="14.140625" customWidth="1"/>
    <col min="14855" max="14855" width="13.5703125" customWidth="1"/>
    <col min="14856" max="14856" width="19.140625" customWidth="1"/>
    <col min="14857" max="14857" width="14.42578125" customWidth="1"/>
    <col min="14858" max="14858" width="4.28515625" customWidth="1"/>
    <col min="15106" max="15106" width="14.5703125" customWidth="1"/>
    <col min="15107" max="15107" width="13.28515625" customWidth="1"/>
    <col min="15108" max="15108" width="12.85546875" customWidth="1"/>
    <col min="15109" max="15109" width="15.140625" customWidth="1"/>
    <col min="15110" max="15110" width="14.140625" customWidth="1"/>
    <col min="15111" max="15111" width="13.5703125" customWidth="1"/>
    <col min="15112" max="15112" width="19.140625" customWidth="1"/>
    <col min="15113" max="15113" width="14.42578125" customWidth="1"/>
    <col min="15114" max="15114" width="4.28515625" customWidth="1"/>
    <col min="15362" max="15362" width="14.5703125" customWidth="1"/>
    <col min="15363" max="15363" width="13.28515625" customWidth="1"/>
    <col min="15364" max="15364" width="12.85546875" customWidth="1"/>
    <col min="15365" max="15365" width="15.140625" customWidth="1"/>
    <col min="15366" max="15366" width="14.140625" customWidth="1"/>
    <col min="15367" max="15367" width="13.5703125" customWidth="1"/>
    <col min="15368" max="15368" width="19.140625" customWidth="1"/>
    <col min="15369" max="15369" width="14.42578125" customWidth="1"/>
    <col min="15370" max="15370" width="4.28515625" customWidth="1"/>
    <col min="15618" max="15618" width="14.5703125" customWidth="1"/>
    <col min="15619" max="15619" width="13.28515625" customWidth="1"/>
    <col min="15620" max="15620" width="12.85546875" customWidth="1"/>
    <col min="15621" max="15621" width="15.140625" customWidth="1"/>
    <col min="15622" max="15622" width="14.140625" customWidth="1"/>
    <col min="15623" max="15623" width="13.5703125" customWidth="1"/>
    <col min="15624" max="15624" width="19.140625" customWidth="1"/>
    <col min="15625" max="15625" width="14.42578125" customWidth="1"/>
    <col min="15626" max="15626" width="4.28515625" customWidth="1"/>
    <col min="15874" max="15874" width="14.5703125" customWidth="1"/>
    <col min="15875" max="15875" width="13.28515625" customWidth="1"/>
    <col min="15876" max="15876" width="12.85546875" customWidth="1"/>
    <col min="15877" max="15877" width="15.140625" customWidth="1"/>
    <col min="15878" max="15878" width="14.140625" customWidth="1"/>
    <col min="15879" max="15879" width="13.5703125" customWidth="1"/>
    <col min="15880" max="15880" width="19.140625" customWidth="1"/>
    <col min="15881" max="15881" width="14.42578125" customWidth="1"/>
    <col min="15882" max="15882" width="4.28515625" customWidth="1"/>
    <col min="16130" max="16130" width="14.5703125" customWidth="1"/>
    <col min="16131" max="16131" width="13.28515625" customWidth="1"/>
    <col min="16132" max="16132" width="12.85546875" customWidth="1"/>
    <col min="16133" max="16133" width="15.140625" customWidth="1"/>
    <col min="16134" max="16134" width="14.140625" customWidth="1"/>
    <col min="16135" max="16135" width="13.5703125" customWidth="1"/>
    <col min="16136" max="16136" width="19.140625" customWidth="1"/>
    <col min="16137" max="16137" width="14.42578125" customWidth="1"/>
    <col min="16138" max="16138" width="4.28515625" customWidth="1"/>
  </cols>
  <sheetData>
    <row r="1" spans="1:10" ht="15.75" x14ac:dyDescent="0.2">
      <c r="A1" s="1250" t="s">
        <v>808</v>
      </c>
      <c r="B1" s="1251"/>
      <c r="C1" s="1251"/>
      <c r="D1" s="1251"/>
      <c r="E1" s="1251"/>
      <c r="F1" s="1251"/>
      <c r="G1" s="1251"/>
      <c r="H1" s="1251"/>
      <c r="I1" s="1251"/>
      <c r="J1" s="1227" t="s">
        <v>837</v>
      </c>
    </row>
    <row r="2" spans="1:10" ht="14.25" thickBot="1" x14ac:dyDescent="0.3">
      <c r="A2" s="174"/>
      <c r="B2" s="174"/>
      <c r="C2" s="174"/>
      <c r="D2" s="174"/>
      <c r="E2" s="174"/>
      <c r="F2" s="1228"/>
      <c r="G2" s="1228"/>
      <c r="H2" s="1229" t="s">
        <v>458</v>
      </c>
      <c r="I2" s="1229"/>
      <c r="J2" s="1227"/>
    </row>
    <row r="3" spans="1:10" ht="13.5" thickBot="1" x14ac:dyDescent="0.25">
      <c r="A3" s="1230" t="s">
        <v>413</v>
      </c>
      <c r="B3" s="1232" t="s">
        <v>372</v>
      </c>
      <c r="C3" s="1234" t="s">
        <v>373</v>
      </c>
      <c r="D3" s="1236" t="s">
        <v>374</v>
      </c>
      <c r="E3" s="1237"/>
      <c r="F3" s="1237"/>
      <c r="G3" s="1237"/>
      <c r="H3" s="1237"/>
      <c r="I3" s="1238" t="s">
        <v>375</v>
      </c>
      <c r="J3" s="1227"/>
    </row>
    <row r="4" spans="1:10" ht="24.75" thickBot="1" x14ac:dyDescent="0.25">
      <c r="A4" s="1231"/>
      <c r="B4" s="1233"/>
      <c r="C4" s="1235"/>
      <c r="D4" s="322" t="s">
        <v>376</v>
      </c>
      <c r="E4" s="322" t="s">
        <v>377</v>
      </c>
      <c r="F4" s="322" t="s">
        <v>378</v>
      </c>
      <c r="G4" s="323" t="s">
        <v>379</v>
      </c>
      <c r="H4" s="323" t="s">
        <v>380</v>
      </c>
      <c r="I4" s="1239"/>
      <c r="J4" s="1227"/>
    </row>
    <row r="5" spans="1:10" ht="13.5" thickBot="1" x14ac:dyDescent="0.25">
      <c r="A5" s="325" t="s">
        <v>446</v>
      </c>
      <c r="B5" s="326" t="s">
        <v>447</v>
      </c>
      <c r="C5" s="326" t="s">
        <v>448</v>
      </c>
      <c r="D5" s="326" t="s">
        <v>449</v>
      </c>
      <c r="E5" s="326" t="s">
        <v>450</v>
      </c>
      <c r="F5" s="326" t="s">
        <v>635</v>
      </c>
      <c r="G5" s="326" t="s">
        <v>636</v>
      </c>
      <c r="H5" s="326" t="s">
        <v>738</v>
      </c>
      <c r="I5" s="327" t="s">
        <v>739</v>
      </c>
      <c r="J5" s="1227"/>
    </row>
    <row r="6" spans="1:10" x14ac:dyDescent="0.2">
      <c r="A6" s="1240" t="s">
        <v>381</v>
      </c>
      <c r="B6" s="1241"/>
      <c r="C6" s="1241"/>
      <c r="D6" s="1241"/>
      <c r="E6" s="1241"/>
      <c r="F6" s="1241"/>
      <c r="G6" s="1241"/>
      <c r="H6" s="1241"/>
      <c r="I6" s="1242"/>
      <c r="J6" s="1227"/>
    </row>
    <row r="7" spans="1:10" ht="22.5" x14ac:dyDescent="0.2">
      <c r="A7" s="328" t="s">
        <v>228</v>
      </c>
      <c r="B7" s="329" t="s">
        <v>382</v>
      </c>
      <c r="C7" s="330"/>
      <c r="D7" s="330"/>
      <c r="E7" s="330"/>
      <c r="F7" s="330"/>
      <c r="G7" s="331"/>
      <c r="H7" s="332">
        <f t="shared" ref="H7:H12" si="0">SUM(D7:G7)</f>
        <v>0</v>
      </c>
      <c r="I7" s="333">
        <f t="shared" ref="I7:I13" si="1">C7+H7</f>
        <v>0</v>
      </c>
      <c r="J7" s="1227"/>
    </row>
    <row r="8" spans="1:10" ht="45" x14ac:dyDescent="0.2">
      <c r="A8" s="328" t="s">
        <v>234</v>
      </c>
      <c r="B8" s="329" t="s">
        <v>383</v>
      </c>
      <c r="C8" s="330"/>
      <c r="D8" s="330"/>
      <c r="E8" s="330"/>
      <c r="F8" s="330"/>
      <c r="G8" s="331"/>
      <c r="H8" s="332">
        <f t="shared" si="0"/>
        <v>0</v>
      </c>
      <c r="I8" s="333">
        <f t="shared" si="1"/>
        <v>0</v>
      </c>
      <c r="J8" s="1227"/>
    </row>
    <row r="9" spans="1:10" ht="33.75" x14ac:dyDescent="0.2">
      <c r="A9" s="328" t="s">
        <v>235</v>
      </c>
      <c r="B9" s="329" t="s">
        <v>384</v>
      </c>
      <c r="C9" s="330"/>
      <c r="D9" s="330"/>
      <c r="E9" s="330"/>
      <c r="F9" s="330"/>
      <c r="G9" s="331"/>
      <c r="H9" s="332">
        <f t="shared" si="0"/>
        <v>0</v>
      </c>
      <c r="I9" s="333">
        <f t="shared" si="1"/>
        <v>0</v>
      </c>
      <c r="J9" s="1227"/>
    </row>
    <row r="10" spans="1:10" ht="22.5" x14ac:dyDescent="0.2">
      <c r="A10" s="328" t="s">
        <v>236</v>
      </c>
      <c r="B10" s="329" t="s">
        <v>385</v>
      </c>
      <c r="C10" s="330"/>
      <c r="D10" s="330"/>
      <c r="E10" s="330"/>
      <c r="F10" s="330"/>
      <c r="G10" s="331"/>
      <c r="H10" s="332">
        <f t="shared" si="0"/>
        <v>0</v>
      </c>
      <c r="I10" s="333">
        <f t="shared" si="1"/>
        <v>0</v>
      </c>
      <c r="J10" s="1227"/>
    </row>
    <row r="11" spans="1:10" ht="33.75" x14ac:dyDescent="0.2">
      <c r="A11" s="328" t="s">
        <v>237</v>
      </c>
      <c r="B11" s="329" t="s">
        <v>386</v>
      </c>
      <c r="C11" s="330"/>
      <c r="D11" s="330"/>
      <c r="E11" s="330"/>
      <c r="F11" s="330"/>
      <c r="G11" s="331"/>
      <c r="H11" s="332">
        <f t="shared" si="0"/>
        <v>0</v>
      </c>
      <c r="I11" s="333">
        <f t="shared" si="1"/>
        <v>0</v>
      </c>
      <c r="J11" s="1227"/>
    </row>
    <row r="12" spans="1:10" x14ac:dyDescent="0.2">
      <c r="A12" s="334" t="s">
        <v>240</v>
      </c>
      <c r="B12" s="335" t="s">
        <v>387</v>
      </c>
      <c r="C12" s="336">
        <f>71429+1567039+508971</f>
        <v>2147439</v>
      </c>
      <c r="D12" s="336">
        <v>209260</v>
      </c>
      <c r="E12" s="336"/>
      <c r="F12" s="336"/>
      <c r="G12" s="337">
        <v>0</v>
      </c>
      <c r="H12" s="332">
        <f t="shared" si="0"/>
        <v>209260</v>
      </c>
      <c r="I12" s="333">
        <f t="shared" si="1"/>
        <v>2356699</v>
      </c>
      <c r="J12" s="1227"/>
    </row>
    <row r="13" spans="1:10" ht="21.75" customHeight="1" thickBot="1" x14ac:dyDescent="0.25">
      <c r="A13" s="338" t="s">
        <v>241</v>
      </c>
      <c r="B13" s="339" t="s">
        <v>388</v>
      </c>
      <c r="C13" s="340"/>
      <c r="D13" s="340"/>
      <c r="E13" s="340"/>
      <c r="F13" s="340"/>
      <c r="G13" s="341">
        <v>508508</v>
      </c>
      <c r="H13" s="332">
        <v>508508</v>
      </c>
      <c r="I13" s="333">
        <f t="shared" si="1"/>
        <v>508508</v>
      </c>
      <c r="J13" s="1227"/>
    </row>
    <row r="14" spans="1:10" ht="13.5" thickBot="1" x14ac:dyDescent="0.25">
      <c r="A14" s="1243" t="s">
        <v>389</v>
      </c>
      <c r="B14" s="1244"/>
      <c r="C14" s="342">
        <f t="shared" ref="C14:I14" si="2">SUM(C7:C13)</f>
        <v>2147439</v>
      </c>
      <c r="D14" s="342">
        <f t="shared" si="2"/>
        <v>209260</v>
      </c>
      <c r="E14" s="342">
        <f t="shared" si="2"/>
        <v>0</v>
      </c>
      <c r="F14" s="342">
        <f t="shared" si="2"/>
        <v>0</v>
      </c>
      <c r="G14" s="343">
        <f t="shared" si="2"/>
        <v>508508</v>
      </c>
      <c r="H14" s="343">
        <f t="shared" si="2"/>
        <v>717768</v>
      </c>
      <c r="I14" s="344">
        <f t="shared" si="2"/>
        <v>2865207</v>
      </c>
      <c r="J14" s="1227"/>
    </row>
    <row r="15" spans="1:10" x14ac:dyDescent="0.2">
      <c r="A15" s="1245" t="s">
        <v>390</v>
      </c>
      <c r="B15" s="1246"/>
      <c r="C15" s="1246"/>
      <c r="D15" s="1246"/>
      <c r="E15" s="1246"/>
      <c r="F15" s="1246"/>
      <c r="G15" s="1246"/>
      <c r="H15" s="1246"/>
      <c r="I15" s="1247"/>
      <c r="J15" s="1227"/>
    </row>
    <row r="16" spans="1:10" x14ac:dyDescent="0.2">
      <c r="A16" s="328" t="s">
        <v>228</v>
      </c>
      <c r="B16" s="329" t="s">
        <v>391</v>
      </c>
      <c r="C16" s="330"/>
      <c r="D16" s="330"/>
      <c r="E16" s="330"/>
      <c r="F16" s="330"/>
      <c r="G16" s="331"/>
      <c r="H16" s="332">
        <f>SUM(D16:G16)</f>
        <v>0</v>
      </c>
      <c r="I16" s="333">
        <f>C16+H16</f>
        <v>0</v>
      </c>
      <c r="J16" s="1227"/>
    </row>
    <row r="17" spans="1:10" ht="13.5" thickBot="1" x14ac:dyDescent="0.25">
      <c r="A17" s="338" t="s">
        <v>234</v>
      </c>
      <c r="B17" s="339" t="s">
        <v>388</v>
      </c>
      <c r="C17" s="340"/>
      <c r="D17" s="340"/>
      <c r="E17" s="340"/>
      <c r="F17" s="340"/>
      <c r="G17" s="341"/>
      <c r="H17" s="332">
        <f>SUM(D17:G17)</f>
        <v>0</v>
      </c>
      <c r="I17" s="345">
        <f>C17+H17</f>
        <v>0</v>
      </c>
      <c r="J17" s="1227"/>
    </row>
    <row r="18" spans="1:10" ht="13.5" thickBot="1" x14ac:dyDescent="0.25">
      <c r="A18" s="1243" t="s">
        <v>392</v>
      </c>
      <c r="B18" s="1244"/>
      <c r="C18" s="342">
        <f t="shared" ref="C18:I18" si="3">SUM(C16:C17)</f>
        <v>0</v>
      </c>
      <c r="D18" s="342">
        <f t="shared" si="3"/>
        <v>0</v>
      </c>
      <c r="E18" s="342">
        <f t="shared" si="3"/>
        <v>0</v>
      </c>
      <c r="F18" s="342">
        <f t="shared" si="3"/>
        <v>0</v>
      </c>
      <c r="G18" s="343">
        <f t="shared" si="3"/>
        <v>0</v>
      </c>
      <c r="H18" s="343">
        <f t="shared" si="3"/>
        <v>0</v>
      </c>
      <c r="I18" s="344">
        <f t="shared" si="3"/>
        <v>0</v>
      </c>
      <c r="J18" s="1227"/>
    </row>
    <row r="19" spans="1:10" ht="13.5" thickBot="1" x14ac:dyDescent="0.25">
      <c r="A19" s="1248" t="s">
        <v>393</v>
      </c>
      <c r="B19" s="1249"/>
      <c r="C19" s="346">
        <f t="shared" ref="C19:I19" si="4">C14+C18</f>
        <v>2147439</v>
      </c>
      <c r="D19" s="346">
        <f t="shared" si="4"/>
        <v>209260</v>
      </c>
      <c r="E19" s="346">
        <f t="shared" si="4"/>
        <v>0</v>
      </c>
      <c r="F19" s="346">
        <f t="shared" si="4"/>
        <v>0</v>
      </c>
      <c r="G19" s="346">
        <f t="shared" si="4"/>
        <v>508508</v>
      </c>
      <c r="H19" s="346">
        <f t="shared" si="4"/>
        <v>717768</v>
      </c>
      <c r="I19" s="344">
        <f t="shared" si="4"/>
        <v>2865207</v>
      </c>
      <c r="J19" s="1227"/>
    </row>
  </sheetData>
  <mergeCells count="14">
    <mergeCell ref="J1:J19"/>
    <mergeCell ref="F2:G2"/>
    <mergeCell ref="H2:I2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  <mergeCell ref="A1:I1"/>
  </mergeCells>
  <pageMargins left="0.75" right="0.75" top="1" bottom="1" header="0.5" footer="0.5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theme="6"/>
  </sheetPr>
  <dimension ref="A1:D30"/>
  <sheetViews>
    <sheetView view="pageLayout" topLeftCell="A23" zoomScaleNormal="100" workbookViewId="0">
      <selection activeCell="G14" sqref="G14"/>
    </sheetView>
  </sheetViews>
  <sheetFormatPr defaultColWidth="8" defaultRowHeight="12.75" x14ac:dyDescent="0.2"/>
  <cols>
    <col min="1" max="1" width="5" style="373" customWidth="1"/>
    <col min="2" max="2" width="47.85546875" style="356" customWidth="1"/>
    <col min="3" max="4" width="12.7109375" style="356" customWidth="1"/>
    <col min="5" max="16384" width="8" style="356"/>
  </cols>
  <sheetData>
    <row r="1" spans="1:4" s="175" customFormat="1" ht="15.75" thickBot="1" x14ac:dyDescent="0.25">
      <c r="A1" s="320"/>
      <c r="B1" s="532"/>
      <c r="D1" s="321" t="s">
        <v>458</v>
      </c>
    </row>
    <row r="2" spans="1:4" s="324" customFormat="1" ht="48" customHeight="1" thickBot="1" x14ac:dyDescent="0.25">
      <c r="A2" s="347" t="s">
        <v>310</v>
      </c>
      <c r="B2" s="322" t="s">
        <v>311</v>
      </c>
      <c r="C2" s="322" t="s">
        <v>809</v>
      </c>
      <c r="D2" s="348" t="s">
        <v>810</v>
      </c>
    </row>
    <row r="3" spans="1:4" s="324" customFormat="1" ht="14.1" customHeight="1" thickBot="1" x14ac:dyDescent="0.25">
      <c r="A3" s="349" t="s">
        <v>446</v>
      </c>
      <c r="B3" s="350" t="s">
        <v>447</v>
      </c>
      <c r="C3" s="350" t="s">
        <v>448</v>
      </c>
      <c r="D3" s="351" t="s">
        <v>449</v>
      </c>
    </row>
    <row r="4" spans="1:4" ht="18" customHeight="1" x14ac:dyDescent="0.2">
      <c r="A4" s="352" t="s">
        <v>228</v>
      </c>
      <c r="B4" s="353" t="s">
        <v>402</v>
      </c>
      <c r="C4" s="354"/>
      <c r="D4" s="355"/>
    </row>
    <row r="5" spans="1:4" ht="18" customHeight="1" x14ac:dyDescent="0.2">
      <c r="A5" s="357" t="s">
        <v>234</v>
      </c>
      <c r="B5" s="358" t="s">
        <v>403</v>
      </c>
      <c r="C5" s="359"/>
      <c r="D5" s="360"/>
    </row>
    <row r="6" spans="1:4" ht="18" customHeight="1" x14ac:dyDescent="0.2">
      <c r="A6" s="357" t="s">
        <v>235</v>
      </c>
      <c r="B6" s="358" t="s">
        <v>404</v>
      </c>
      <c r="C6" s="359"/>
      <c r="D6" s="360"/>
    </row>
    <row r="7" spans="1:4" ht="18" customHeight="1" x14ac:dyDescent="0.2">
      <c r="A7" s="357" t="s">
        <v>236</v>
      </c>
      <c r="B7" s="358" t="s">
        <v>405</v>
      </c>
      <c r="C7" s="359"/>
      <c r="D7" s="360"/>
    </row>
    <row r="8" spans="1:4" ht="18" customHeight="1" x14ac:dyDescent="0.2">
      <c r="A8" s="361" t="s">
        <v>237</v>
      </c>
      <c r="B8" s="358" t="s">
        <v>406</v>
      </c>
      <c r="C8" s="359"/>
      <c r="D8" s="360"/>
    </row>
    <row r="9" spans="1:4" ht="18" customHeight="1" x14ac:dyDescent="0.2">
      <c r="A9" s="357" t="s">
        <v>240</v>
      </c>
      <c r="B9" s="358" t="s">
        <v>407</v>
      </c>
      <c r="C9" s="359"/>
      <c r="D9" s="360"/>
    </row>
    <row r="10" spans="1:4" ht="18" customHeight="1" x14ac:dyDescent="0.2">
      <c r="A10" s="361" t="s">
        <v>241</v>
      </c>
      <c r="B10" s="362" t="s">
        <v>408</v>
      </c>
      <c r="C10" s="359"/>
      <c r="D10" s="360"/>
    </row>
    <row r="11" spans="1:4" ht="18" customHeight="1" x14ac:dyDescent="0.2">
      <c r="A11" s="361" t="s">
        <v>242</v>
      </c>
      <c r="B11" s="362" t="s">
        <v>409</v>
      </c>
      <c r="C11" s="359">
        <v>150000</v>
      </c>
      <c r="D11" s="676" t="s">
        <v>779</v>
      </c>
    </row>
    <row r="12" spans="1:4" ht="18" customHeight="1" x14ac:dyDescent="0.2">
      <c r="A12" s="357" t="s">
        <v>243</v>
      </c>
      <c r="B12" s="362" t="s">
        <v>410</v>
      </c>
      <c r="C12" s="359"/>
      <c r="D12" s="360"/>
    </row>
    <row r="13" spans="1:4" ht="18" customHeight="1" x14ac:dyDescent="0.2">
      <c r="A13" s="361" t="s">
        <v>244</v>
      </c>
      <c r="B13" s="362" t="s">
        <v>411</v>
      </c>
      <c r="C13" s="359"/>
      <c r="D13" s="360"/>
    </row>
    <row r="14" spans="1:4" ht="22.5" x14ac:dyDescent="0.2">
      <c r="A14" s="357" t="s">
        <v>245</v>
      </c>
      <c r="B14" s="362" t="s">
        <v>412</v>
      </c>
      <c r="C14" s="359"/>
      <c r="D14" s="360"/>
    </row>
    <row r="15" spans="1:4" ht="18" customHeight="1" x14ac:dyDescent="0.2">
      <c r="A15" s="361" t="s">
        <v>246</v>
      </c>
      <c r="B15" s="358" t="s">
        <v>419</v>
      </c>
      <c r="C15" s="359"/>
      <c r="D15" s="360"/>
    </row>
    <row r="16" spans="1:4" ht="18" customHeight="1" x14ac:dyDescent="0.2">
      <c r="A16" s="357" t="s">
        <v>247</v>
      </c>
      <c r="B16" s="358" t="s">
        <v>420</v>
      </c>
      <c r="C16" s="359"/>
      <c r="D16" s="360"/>
    </row>
    <row r="17" spans="1:4" ht="18" customHeight="1" x14ac:dyDescent="0.2">
      <c r="A17" s="361" t="s">
        <v>250</v>
      </c>
      <c r="B17" s="358" t="s">
        <v>421</v>
      </c>
      <c r="C17" s="359"/>
      <c r="D17" s="360"/>
    </row>
    <row r="18" spans="1:4" ht="18" customHeight="1" x14ac:dyDescent="0.2">
      <c r="A18" s="357" t="s">
        <v>251</v>
      </c>
      <c r="B18" s="358" t="s">
        <v>422</v>
      </c>
      <c r="C18" s="359"/>
      <c r="D18" s="360"/>
    </row>
    <row r="19" spans="1:4" ht="18" customHeight="1" x14ac:dyDescent="0.2">
      <c r="A19" s="361" t="s">
        <v>252</v>
      </c>
      <c r="B19" s="358" t="s">
        <v>423</v>
      </c>
      <c r="C19" s="359"/>
      <c r="D19" s="360"/>
    </row>
    <row r="20" spans="1:4" ht="18" customHeight="1" x14ac:dyDescent="0.2">
      <c r="A20" s="357" t="s">
        <v>253</v>
      </c>
      <c r="B20" s="363"/>
      <c r="C20" s="359"/>
      <c r="D20" s="360"/>
    </row>
    <row r="21" spans="1:4" ht="18" customHeight="1" x14ac:dyDescent="0.2">
      <c r="A21" s="361" t="s">
        <v>254</v>
      </c>
      <c r="B21" s="363"/>
      <c r="C21" s="359"/>
      <c r="D21" s="360"/>
    </row>
    <row r="22" spans="1:4" ht="18" customHeight="1" x14ac:dyDescent="0.2">
      <c r="A22" s="357" t="s">
        <v>255</v>
      </c>
      <c r="B22" s="363"/>
      <c r="C22" s="359"/>
      <c r="D22" s="360"/>
    </row>
    <row r="23" spans="1:4" ht="18" customHeight="1" x14ac:dyDescent="0.2">
      <c r="A23" s="361" t="s">
        <v>256</v>
      </c>
      <c r="B23" s="363"/>
      <c r="C23" s="359"/>
      <c r="D23" s="360"/>
    </row>
    <row r="24" spans="1:4" ht="18" customHeight="1" x14ac:dyDescent="0.2">
      <c r="A24" s="357" t="s">
        <v>257</v>
      </c>
      <c r="B24" s="363"/>
      <c r="C24" s="359"/>
      <c r="D24" s="360"/>
    </row>
    <row r="25" spans="1:4" ht="18" customHeight="1" x14ac:dyDescent="0.2">
      <c r="A25" s="361" t="s">
        <v>258</v>
      </c>
      <c r="B25" s="363"/>
      <c r="C25" s="359"/>
      <c r="D25" s="360"/>
    </row>
    <row r="26" spans="1:4" ht="18" customHeight="1" x14ac:dyDescent="0.2">
      <c r="A26" s="357" t="s">
        <v>259</v>
      </c>
      <c r="B26" s="363"/>
      <c r="C26" s="359"/>
      <c r="D26" s="360"/>
    </row>
    <row r="27" spans="1:4" ht="18" customHeight="1" x14ac:dyDescent="0.2">
      <c r="A27" s="361" t="s">
        <v>260</v>
      </c>
      <c r="B27" s="363"/>
      <c r="C27" s="359"/>
      <c r="D27" s="360"/>
    </row>
    <row r="28" spans="1:4" ht="18" customHeight="1" thickBot="1" x14ac:dyDescent="0.25">
      <c r="A28" s="364" t="s">
        <v>261</v>
      </c>
      <c r="B28" s="365"/>
      <c r="C28" s="366"/>
      <c r="D28" s="367"/>
    </row>
    <row r="29" spans="1:4" ht="18" customHeight="1" thickBot="1" x14ac:dyDescent="0.25">
      <c r="A29" s="368" t="s">
        <v>262</v>
      </c>
      <c r="B29" s="369" t="s">
        <v>224</v>
      </c>
      <c r="C29" s="370">
        <f>+C4+C5+C6+C7+C8+C15+C16+C17+C18+C19+C20+C21+C22+C23+C24+C25+C26+C27+C28</f>
        <v>0</v>
      </c>
      <c r="D29" s="371">
        <f>+D4+D5+D6+D7+D8+D15+D16+D17+D18+D19+D20+D21+D22+D23+D24+D25+D26+D27+D28</f>
        <v>0</v>
      </c>
    </row>
    <row r="30" spans="1:4" ht="25.5" customHeight="1" x14ac:dyDescent="0.2">
      <c r="A30" s="372"/>
      <c r="B30" s="1252" t="s">
        <v>424</v>
      </c>
      <c r="C30" s="1252"/>
      <c r="D30" s="1252"/>
    </row>
  </sheetData>
  <mergeCells count="1">
    <mergeCell ref="B30:D30"/>
  </mergeCells>
  <phoneticPr fontId="25" type="noConversion"/>
  <printOptions horizontalCentered="1"/>
  <pageMargins left="0.78740157480314965" right="0.78740157480314965" top="1.7716535433070868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CE,Félkövér"&amp;14
&amp;12
Az önkormányzat által adott közvetett támogatások
(kedvezmények)
&amp;R&amp;"Times New Roman CE,Félkövér dőlt"&amp;11 3. számú tájékoztató tábla a ../.....(....)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3"/>
  <sheetViews>
    <sheetView view="pageLayout" zoomScaleNormal="160" workbookViewId="0">
      <selection activeCell="B9" sqref="B9"/>
    </sheetView>
  </sheetViews>
  <sheetFormatPr defaultRowHeight="12.75" x14ac:dyDescent="0.2"/>
  <cols>
    <col min="1" max="1" width="5.7109375" style="640" customWidth="1"/>
    <col min="2" max="2" width="37.140625" style="640" customWidth="1"/>
    <col min="3" max="3" width="26.7109375" style="640" customWidth="1"/>
    <col min="4" max="4" width="12.7109375" style="640" customWidth="1"/>
    <col min="5" max="16384" width="9.140625" style="640"/>
  </cols>
  <sheetData>
    <row r="1" spans="1:6" ht="45" customHeight="1" x14ac:dyDescent="0.25">
      <c r="A1" s="1253" t="s">
        <v>811</v>
      </c>
      <c r="B1" s="1253"/>
      <c r="C1" s="1253"/>
      <c r="D1" s="1253"/>
    </row>
    <row r="2" spans="1:6" ht="17.25" customHeight="1" x14ac:dyDescent="0.25">
      <c r="A2" s="641"/>
      <c r="B2" s="641"/>
      <c r="C2" s="641"/>
      <c r="D2" s="641"/>
    </row>
    <row r="3" spans="1:6" ht="13.5" thickBot="1" x14ac:dyDescent="0.25">
      <c r="A3" s="642"/>
      <c r="B3" s="642"/>
      <c r="C3" s="1254" t="s">
        <v>769</v>
      </c>
      <c r="D3" s="1254"/>
    </row>
    <row r="4" spans="1:6" ht="42.75" customHeight="1" thickBot="1" x14ac:dyDescent="0.25">
      <c r="A4" s="1061" t="s">
        <v>394</v>
      </c>
      <c r="B4" s="1062" t="s">
        <v>740</v>
      </c>
      <c r="C4" s="1062" t="s">
        <v>741</v>
      </c>
      <c r="D4" s="1063" t="s">
        <v>770</v>
      </c>
    </row>
    <row r="5" spans="1:6" ht="15.95" customHeight="1" x14ac:dyDescent="0.2">
      <c r="A5" s="992" t="s">
        <v>228</v>
      </c>
      <c r="B5" s="1059" t="s">
        <v>176</v>
      </c>
      <c r="C5" s="1058" t="s">
        <v>183</v>
      </c>
      <c r="D5" s="1060">
        <v>5000000</v>
      </c>
      <c r="E5" s="644"/>
      <c r="F5" s="644"/>
    </row>
    <row r="6" spans="1:6" ht="15.95" customHeight="1" x14ac:dyDescent="0.2">
      <c r="A6" s="643" t="s">
        <v>234</v>
      </c>
      <c r="B6" s="1053" t="s">
        <v>177</v>
      </c>
      <c r="C6" s="1056" t="s">
        <v>183</v>
      </c>
      <c r="D6" s="645">
        <v>1500000</v>
      </c>
      <c r="E6" s="644"/>
      <c r="F6" s="644"/>
    </row>
    <row r="7" spans="1:6" ht="15.95" customHeight="1" x14ac:dyDescent="0.2">
      <c r="A7" s="643" t="s">
        <v>235</v>
      </c>
      <c r="B7" s="1053" t="s">
        <v>178</v>
      </c>
      <c r="C7" s="1056" t="s">
        <v>183</v>
      </c>
      <c r="D7" s="645">
        <v>500000</v>
      </c>
      <c r="E7" s="644"/>
      <c r="F7" s="644"/>
    </row>
    <row r="8" spans="1:6" ht="15.95" customHeight="1" x14ac:dyDescent="0.2">
      <c r="A8" s="643" t="s">
        <v>236</v>
      </c>
      <c r="B8" s="1053" t="s">
        <v>179</v>
      </c>
      <c r="C8" s="1055" t="s">
        <v>183</v>
      </c>
      <c r="D8" s="645">
        <v>8500000</v>
      </c>
      <c r="E8" s="644"/>
      <c r="F8" s="644"/>
    </row>
    <row r="9" spans="1:6" ht="15.95" customHeight="1" x14ac:dyDescent="0.2">
      <c r="A9" s="643" t="s">
        <v>237</v>
      </c>
      <c r="B9" s="1053" t="s">
        <v>180</v>
      </c>
      <c r="C9" s="1058" t="s">
        <v>183</v>
      </c>
      <c r="D9" s="648">
        <v>200000</v>
      </c>
      <c r="E9" s="644"/>
      <c r="F9" s="644"/>
    </row>
    <row r="10" spans="1:6" ht="15.95" customHeight="1" x14ac:dyDescent="0.2">
      <c r="A10" s="643" t="s">
        <v>240</v>
      </c>
      <c r="B10" s="1053" t="s">
        <v>971</v>
      </c>
      <c r="C10" s="1055" t="s">
        <v>183</v>
      </c>
      <c r="D10" s="659">
        <f>40000+40000+20000+80000+30000+200000+100000+50000+230000</f>
        <v>790000</v>
      </c>
      <c r="E10" s="644"/>
      <c r="F10" s="644"/>
    </row>
    <row r="11" spans="1:6" ht="15.95" customHeight="1" x14ac:dyDescent="0.2">
      <c r="A11" s="643" t="s">
        <v>241</v>
      </c>
      <c r="B11" s="1053" t="s">
        <v>972</v>
      </c>
      <c r="C11" s="1057" t="s">
        <v>183</v>
      </c>
      <c r="D11" s="659">
        <v>100000</v>
      </c>
      <c r="E11" s="644"/>
      <c r="F11" s="644"/>
    </row>
    <row r="12" spans="1:6" ht="15.95" customHeight="1" x14ac:dyDescent="0.2">
      <c r="A12" s="643" t="s">
        <v>242</v>
      </c>
      <c r="B12" s="1053" t="s">
        <v>973</v>
      </c>
      <c r="C12" s="1057" t="s">
        <v>183</v>
      </c>
      <c r="D12" s="659">
        <v>100000</v>
      </c>
      <c r="E12" s="644"/>
      <c r="F12" s="644"/>
    </row>
    <row r="13" spans="1:6" ht="15.95" customHeight="1" x14ac:dyDescent="0.2">
      <c r="A13" s="643" t="s">
        <v>243</v>
      </c>
      <c r="B13" s="1053" t="s">
        <v>974</v>
      </c>
      <c r="C13" s="1055" t="s">
        <v>184</v>
      </c>
      <c r="D13" s="659">
        <f>2362149+1464407+14055980+1024128+7911471+6566637</f>
        <v>33384772</v>
      </c>
      <c r="E13" s="644"/>
      <c r="F13" s="644"/>
    </row>
    <row r="14" spans="1:6" ht="15.95" customHeight="1" x14ac:dyDescent="0.2">
      <c r="A14" s="643" t="s">
        <v>244</v>
      </c>
      <c r="B14" s="1053" t="s">
        <v>975</v>
      </c>
      <c r="C14" s="1055" t="s">
        <v>184</v>
      </c>
      <c r="D14" s="659">
        <v>1925587</v>
      </c>
      <c r="E14" s="644"/>
      <c r="F14" s="644"/>
    </row>
    <row r="15" spans="1:6" ht="15.95" customHeight="1" x14ac:dyDescent="0.2">
      <c r="A15" s="643" t="s">
        <v>245</v>
      </c>
      <c r="B15" s="1053" t="s">
        <v>976</v>
      </c>
      <c r="C15" s="1055" t="s">
        <v>184</v>
      </c>
      <c r="D15" s="659"/>
      <c r="E15" s="644"/>
      <c r="F15" s="644"/>
    </row>
    <row r="16" spans="1:6" ht="15.95" customHeight="1" x14ac:dyDescent="0.2">
      <c r="A16" s="643" t="s">
        <v>246</v>
      </c>
      <c r="B16" s="1053" t="s">
        <v>975</v>
      </c>
      <c r="C16" s="1055" t="s">
        <v>184</v>
      </c>
      <c r="D16" s="659"/>
      <c r="E16" s="644"/>
      <c r="F16" s="644"/>
    </row>
    <row r="17" spans="1:6" ht="15.95" customHeight="1" x14ac:dyDescent="0.2">
      <c r="A17" s="643" t="s">
        <v>247</v>
      </c>
      <c r="B17" s="1053" t="s">
        <v>977</v>
      </c>
      <c r="C17" s="1055" t="s">
        <v>184</v>
      </c>
      <c r="D17" s="659">
        <f>6260776+2911750</f>
        <v>9172526</v>
      </c>
      <c r="E17" s="644"/>
      <c r="F17" s="644"/>
    </row>
    <row r="18" spans="1:6" ht="15.95" customHeight="1" x14ac:dyDescent="0.2">
      <c r="A18" s="643" t="s">
        <v>250</v>
      </c>
      <c r="B18" s="1053" t="s">
        <v>181</v>
      </c>
      <c r="C18" s="1055" t="s">
        <v>183</v>
      </c>
      <c r="D18" s="659">
        <f>6332276+2183635+1625307-32562</f>
        <v>10108656</v>
      </c>
      <c r="E18" s="644"/>
      <c r="F18" s="644"/>
    </row>
    <row r="19" spans="1:6" ht="15.95" customHeight="1" x14ac:dyDescent="0.2">
      <c r="A19" s="643" t="s">
        <v>251</v>
      </c>
      <c r="B19" s="1053" t="s">
        <v>182</v>
      </c>
      <c r="C19" s="1055" t="s">
        <v>183</v>
      </c>
      <c r="D19" s="659">
        <v>16590000</v>
      </c>
      <c r="E19" s="644"/>
      <c r="F19" s="644"/>
    </row>
    <row r="20" spans="1:6" ht="15.95" customHeight="1" x14ac:dyDescent="0.2">
      <c r="A20" s="643" t="s">
        <v>252</v>
      </c>
      <c r="B20" s="1053" t="s">
        <v>771</v>
      </c>
      <c r="C20" s="1055" t="s">
        <v>183</v>
      </c>
      <c r="D20" s="659"/>
      <c r="E20" s="644"/>
      <c r="F20" s="644"/>
    </row>
    <row r="21" spans="1:6" ht="15.95" customHeight="1" x14ac:dyDescent="0.2">
      <c r="A21" s="643" t="s">
        <v>253</v>
      </c>
      <c r="B21" s="1053" t="s">
        <v>772</v>
      </c>
      <c r="C21" s="1055" t="s">
        <v>183</v>
      </c>
      <c r="D21" s="659">
        <v>150000</v>
      </c>
      <c r="E21" s="644"/>
      <c r="F21" s="644"/>
    </row>
    <row r="22" spans="1:6" ht="15.95" customHeight="1" x14ac:dyDescent="0.2">
      <c r="A22" s="643" t="s">
        <v>254</v>
      </c>
      <c r="B22" s="1053" t="s">
        <v>773</v>
      </c>
      <c r="C22" s="1055" t="s">
        <v>183</v>
      </c>
      <c r="D22" s="645">
        <v>15457333</v>
      </c>
      <c r="E22" s="660"/>
      <c r="F22" s="644"/>
    </row>
    <row r="23" spans="1:6" ht="22.5" x14ac:dyDescent="0.2">
      <c r="A23" s="643" t="s">
        <v>255</v>
      </c>
      <c r="B23" s="1054" t="s">
        <v>774</v>
      </c>
      <c r="C23" s="1055" t="s">
        <v>183</v>
      </c>
      <c r="D23" s="645">
        <v>3000000</v>
      </c>
      <c r="E23" s="644"/>
      <c r="F23" s="644"/>
    </row>
    <row r="24" spans="1:6" ht="15.95" customHeight="1" x14ac:dyDescent="0.2">
      <c r="A24" s="643" t="s">
        <v>256</v>
      </c>
      <c r="B24" s="1053" t="s">
        <v>775</v>
      </c>
      <c r="C24" s="1055" t="s">
        <v>183</v>
      </c>
      <c r="D24" s="645">
        <v>4093000</v>
      </c>
      <c r="E24" s="644"/>
      <c r="F24" s="644"/>
    </row>
    <row r="25" spans="1:6" ht="15.95" customHeight="1" x14ac:dyDescent="0.2">
      <c r="A25" s="643" t="s">
        <v>257</v>
      </c>
      <c r="B25" s="1053" t="s">
        <v>978</v>
      </c>
      <c r="C25" s="1055" t="s">
        <v>183</v>
      </c>
      <c r="D25" s="645">
        <v>85404866</v>
      </c>
      <c r="E25" s="644"/>
      <c r="F25" s="646"/>
    </row>
    <row r="26" spans="1:6" ht="15.95" customHeight="1" x14ac:dyDescent="0.2">
      <c r="A26" s="643" t="s">
        <v>258</v>
      </c>
      <c r="B26" s="1053" t="s">
        <v>979</v>
      </c>
      <c r="C26" s="1055" t="s">
        <v>183</v>
      </c>
      <c r="D26" s="645"/>
      <c r="E26" s="644"/>
      <c r="F26" s="644"/>
    </row>
    <row r="27" spans="1:6" ht="15.95" customHeight="1" x14ac:dyDescent="0.2">
      <c r="A27" s="643" t="s">
        <v>259</v>
      </c>
      <c r="B27" s="1053" t="s">
        <v>980</v>
      </c>
      <c r="C27" s="1055" t="s">
        <v>183</v>
      </c>
      <c r="D27" s="645"/>
    </row>
    <row r="28" spans="1:6" ht="15.95" customHeight="1" x14ac:dyDescent="0.2">
      <c r="A28" s="643" t="s">
        <v>260</v>
      </c>
      <c r="B28" s="1053" t="s">
        <v>981</v>
      </c>
      <c r="C28" s="1055" t="s">
        <v>184</v>
      </c>
      <c r="D28" s="647">
        <v>100000</v>
      </c>
    </row>
    <row r="29" spans="1:6" ht="15.95" customHeight="1" x14ac:dyDescent="0.2">
      <c r="A29" s="643" t="s">
        <v>261</v>
      </c>
      <c r="B29" s="1053" t="s">
        <v>773</v>
      </c>
      <c r="C29" s="1055" t="s">
        <v>184</v>
      </c>
      <c r="D29" s="647">
        <v>507964</v>
      </c>
      <c r="E29" s="660"/>
    </row>
    <row r="30" spans="1:6" ht="15.95" customHeight="1" x14ac:dyDescent="0.2">
      <c r="A30" s="643" t="s">
        <v>262</v>
      </c>
      <c r="B30" s="1053" t="s">
        <v>982</v>
      </c>
      <c r="C30" s="1055" t="s">
        <v>183</v>
      </c>
      <c r="D30" s="647">
        <v>245000</v>
      </c>
    </row>
    <row r="31" spans="1:6" x14ac:dyDescent="0.2">
      <c r="A31" s="643" t="s">
        <v>263</v>
      </c>
      <c r="B31" s="1053" t="s">
        <v>983</v>
      </c>
      <c r="C31" s="1055" t="s">
        <v>183</v>
      </c>
      <c r="D31" s="647">
        <v>40000</v>
      </c>
    </row>
    <row r="32" spans="1:6" ht="13.5" thickBot="1" x14ac:dyDescent="0.25">
      <c r="A32" s="994" t="s">
        <v>264</v>
      </c>
      <c r="B32" s="918" t="s">
        <v>984</v>
      </c>
      <c r="C32" s="1055" t="s">
        <v>184</v>
      </c>
      <c r="D32" s="952">
        <v>300000</v>
      </c>
    </row>
    <row r="33" spans="1:4" ht="15.95" customHeight="1" thickBot="1" x14ac:dyDescent="0.25">
      <c r="A33" s="1255" t="s">
        <v>224</v>
      </c>
      <c r="B33" s="1256"/>
      <c r="C33" s="649"/>
      <c r="D33" s="650">
        <f>SUM(D5:D32)</f>
        <v>197169704</v>
      </c>
    </row>
  </sheetData>
  <mergeCells count="3">
    <mergeCell ref="A1:D1"/>
    <mergeCell ref="C3:D3"/>
    <mergeCell ref="A33:B33"/>
  </mergeCells>
  <conditionalFormatting sqref="D33">
    <cfRule type="cellIs" dxfId="2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4. számú tájékoztató tábla a ../.....(....)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Q75"/>
  <sheetViews>
    <sheetView view="pageLayout" zoomScaleNormal="100" zoomScaleSheetLayoutView="55" workbookViewId="0">
      <selection activeCell="G66" sqref="G66"/>
    </sheetView>
  </sheetViews>
  <sheetFormatPr defaultColWidth="10.28515625" defaultRowHeight="15.75" x14ac:dyDescent="0.25"/>
  <cols>
    <col min="1" max="1" width="57.5703125" style="374" customWidth="1"/>
    <col min="2" max="2" width="5.28515625" style="375" customWidth="1"/>
    <col min="3" max="3" width="11.85546875" style="374" bestFit="1" customWidth="1"/>
    <col min="4" max="4" width="11.85546875" style="402" bestFit="1" customWidth="1"/>
    <col min="5" max="5" width="10.42578125" style="403" customWidth="1"/>
    <col min="6" max="6" width="8.42578125" style="374" customWidth="1"/>
    <col min="7" max="7" width="11.85546875" style="374" bestFit="1" customWidth="1"/>
    <col min="8" max="8" width="11.5703125" style="402" bestFit="1" customWidth="1"/>
    <col min="9" max="9" width="10.42578125" style="403" customWidth="1"/>
    <col min="10" max="10" width="8.42578125" style="374" customWidth="1"/>
    <col min="11" max="11" width="11.42578125" style="374" customWidth="1"/>
    <col min="12" max="12" width="11.28515625" style="374" bestFit="1" customWidth="1"/>
    <col min="13" max="13" width="10.28515625" style="374"/>
    <col min="14" max="14" width="8.5703125" style="374" customWidth="1"/>
    <col min="15" max="15" width="11.42578125" style="374" customWidth="1"/>
    <col min="16" max="16384" width="10.28515625" style="374"/>
  </cols>
  <sheetData>
    <row r="1" spans="1:17" ht="21.75" customHeight="1" x14ac:dyDescent="0.25">
      <c r="A1" s="1268" t="s">
        <v>118</v>
      </c>
      <c r="B1" s="1268"/>
      <c r="C1" s="1268"/>
      <c r="D1" s="1268"/>
      <c r="E1" s="1268"/>
      <c r="H1" s="374"/>
      <c r="I1" s="374"/>
    </row>
    <row r="2" spans="1:17" ht="21.75" customHeight="1" x14ac:dyDescent="0.25">
      <c r="A2" s="1268" t="s">
        <v>119</v>
      </c>
      <c r="B2" s="1268"/>
      <c r="C2" s="1268"/>
      <c r="D2" s="1268"/>
      <c r="E2" s="1268"/>
      <c r="G2" s="681"/>
      <c r="H2" s="681"/>
      <c r="I2" s="681"/>
      <c r="J2" s="681"/>
      <c r="K2" s="681"/>
      <c r="L2" s="681"/>
      <c r="M2" s="681"/>
      <c r="N2" s="681"/>
      <c r="O2" s="681"/>
      <c r="P2" s="681"/>
      <c r="Q2" s="681"/>
    </row>
    <row r="3" spans="1:17" ht="16.5" thickBot="1" x14ac:dyDescent="0.3">
      <c r="A3" s="651" t="s">
        <v>812</v>
      </c>
      <c r="C3" s="1269" t="s">
        <v>124</v>
      </c>
      <c r="D3" s="1269"/>
      <c r="E3" s="1269"/>
      <c r="G3" s="1269"/>
      <c r="H3" s="1269"/>
      <c r="I3" s="1269"/>
      <c r="J3" s="681"/>
      <c r="K3" s="1269"/>
      <c r="L3" s="1269"/>
      <c r="M3" s="1269"/>
      <c r="N3" s="681"/>
      <c r="O3" s="1269"/>
      <c r="P3" s="1269"/>
      <c r="Q3" s="1269"/>
    </row>
    <row r="4" spans="1:17" ht="15.75" customHeight="1" x14ac:dyDescent="0.25">
      <c r="A4" s="1262" t="s">
        <v>742</v>
      </c>
      <c r="B4" s="1265" t="s">
        <v>413</v>
      </c>
      <c r="C4" s="1270" t="s">
        <v>743</v>
      </c>
      <c r="D4" s="1270" t="s">
        <v>744</v>
      </c>
      <c r="E4" s="1272" t="s">
        <v>745</v>
      </c>
      <c r="G4" s="1258"/>
      <c r="H4" s="1258"/>
      <c r="I4" s="1258"/>
      <c r="J4" s="681"/>
      <c r="K4" s="1258"/>
      <c r="L4" s="1258"/>
      <c r="M4" s="1258"/>
      <c r="N4" s="681"/>
      <c r="O4" s="1258"/>
      <c r="P4" s="1258"/>
      <c r="Q4" s="1258"/>
    </row>
    <row r="5" spans="1:17" ht="11.25" customHeight="1" x14ac:dyDescent="0.25">
      <c r="A5" s="1263"/>
      <c r="B5" s="1266"/>
      <c r="C5" s="1271"/>
      <c r="D5" s="1271"/>
      <c r="E5" s="1273"/>
      <c r="G5" s="1258"/>
      <c r="H5" s="1258"/>
      <c r="I5" s="1258"/>
      <c r="J5" s="681"/>
      <c r="K5" s="1258"/>
      <c r="L5" s="1258"/>
      <c r="M5" s="1258"/>
      <c r="N5" s="681"/>
      <c r="O5" s="1258"/>
      <c r="P5" s="1258"/>
      <c r="Q5" s="1258"/>
    </row>
    <row r="6" spans="1:17" ht="15.75" customHeight="1" x14ac:dyDescent="0.25">
      <c r="A6" s="1264"/>
      <c r="B6" s="1267"/>
      <c r="C6" s="1259" t="s">
        <v>746</v>
      </c>
      <c r="D6" s="1259"/>
      <c r="E6" s="1260"/>
      <c r="G6" s="1261"/>
      <c r="H6" s="1261"/>
      <c r="I6" s="1261"/>
      <c r="J6" s="681"/>
      <c r="K6" s="1261"/>
      <c r="L6" s="1261"/>
      <c r="M6" s="1261"/>
      <c r="N6" s="681"/>
      <c r="O6" s="1261"/>
      <c r="P6" s="1261"/>
      <c r="Q6" s="1261"/>
    </row>
    <row r="7" spans="1:17" s="380" customFormat="1" ht="16.5" thickBot="1" x14ac:dyDescent="0.25">
      <c r="A7" s="377" t="s">
        <v>747</v>
      </c>
      <c r="B7" s="378" t="s">
        <v>447</v>
      </c>
      <c r="C7" s="378" t="s">
        <v>448</v>
      </c>
      <c r="D7" s="378" t="s">
        <v>449</v>
      </c>
      <c r="E7" s="379" t="s">
        <v>450</v>
      </c>
      <c r="G7" s="682"/>
      <c r="H7" s="682"/>
      <c r="I7" s="682"/>
      <c r="J7" s="683"/>
      <c r="K7" s="682"/>
      <c r="L7" s="682"/>
      <c r="M7" s="682"/>
      <c r="N7" s="683"/>
      <c r="O7" s="682"/>
      <c r="P7" s="682"/>
      <c r="Q7" s="682"/>
    </row>
    <row r="8" spans="1:17" s="385" customFormat="1" x14ac:dyDescent="0.2">
      <c r="A8" s="381" t="s">
        <v>748</v>
      </c>
      <c r="B8" s="382" t="s">
        <v>749</v>
      </c>
      <c r="C8" s="383">
        <v>135148751</v>
      </c>
      <c r="D8" s="611">
        <v>2967457</v>
      </c>
      <c r="E8" s="384"/>
      <c r="G8" s="684"/>
      <c r="H8" s="685"/>
      <c r="I8" s="684"/>
      <c r="J8" s="686"/>
      <c r="K8" s="684"/>
      <c r="L8" s="685"/>
      <c r="M8" s="684"/>
      <c r="N8" s="686"/>
      <c r="O8" s="684"/>
      <c r="P8" s="685"/>
      <c r="Q8" s="684"/>
    </row>
    <row r="9" spans="1:17" s="385" customFormat="1" x14ac:dyDescent="0.2">
      <c r="A9" s="386" t="s">
        <v>750</v>
      </c>
      <c r="B9" s="387" t="s">
        <v>751</v>
      </c>
      <c r="C9" s="388">
        <f>C10+C15+C20+C25+C30</f>
        <v>8133083797</v>
      </c>
      <c r="D9" s="388">
        <f t="shared" ref="D9:E9" si="0">D10+D15+D20+D25+D30</f>
        <v>5671249928</v>
      </c>
      <c r="E9" s="388">
        <f t="shared" si="0"/>
        <v>0</v>
      </c>
      <c r="G9" s="687"/>
      <c r="H9" s="688"/>
      <c r="I9" s="687"/>
      <c r="J9" s="686"/>
      <c r="K9" s="687"/>
      <c r="L9" s="688"/>
      <c r="M9" s="687"/>
      <c r="N9" s="686"/>
      <c r="O9" s="687"/>
      <c r="P9" s="688"/>
      <c r="Q9" s="687"/>
    </row>
    <row r="10" spans="1:17" s="385" customFormat="1" x14ac:dyDescent="0.2">
      <c r="A10" s="386" t="s">
        <v>752</v>
      </c>
      <c r="B10" s="387" t="s">
        <v>753</v>
      </c>
      <c r="C10" s="388">
        <f>SUM(C11:C14)</f>
        <v>7448527270</v>
      </c>
      <c r="D10" s="388">
        <f t="shared" ref="D10:E10" si="1">SUM(D11:D14)</f>
        <v>5307779510</v>
      </c>
      <c r="E10" s="388">
        <f t="shared" si="1"/>
        <v>0</v>
      </c>
      <c r="G10" s="687"/>
      <c r="H10" s="688"/>
      <c r="I10" s="687"/>
      <c r="J10" s="686"/>
      <c r="K10" s="687"/>
      <c r="L10" s="688"/>
      <c r="M10" s="687"/>
      <c r="N10" s="686"/>
      <c r="O10" s="687"/>
      <c r="P10" s="688"/>
      <c r="Q10" s="687"/>
    </row>
    <row r="11" spans="1:17" s="385" customFormat="1" x14ac:dyDescent="0.2">
      <c r="A11" s="389" t="s">
        <v>754</v>
      </c>
      <c r="B11" s="387" t="s">
        <v>755</v>
      </c>
      <c r="C11" s="1131">
        <v>1329534724</v>
      </c>
      <c r="D11" s="689">
        <v>817943790</v>
      </c>
      <c r="E11" s="390"/>
      <c r="G11" s="690"/>
      <c r="H11" s="691"/>
      <c r="I11" s="690"/>
      <c r="J11" s="686"/>
      <c r="K11" s="690"/>
      <c r="L11" s="691"/>
      <c r="M11" s="690"/>
      <c r="N11" s="686"/>
      <c r="O11" s="690"/>
      <c r="P11" s="691"/>
      <c r="Q11" s="690"/>
    </row>
    <row r="12" spans="1:17" s="385" customFormat="1" ht="26.25" customHeight="1" x14ac:dyDescent="0.2">
      <c r="A12" s="389" t="s">
        <v>0</v>
      </c>
      <c r="B12" s="387" t="s">
        <v>1</v>
      </c>
      <c r="C12" s="1132">
        <v>21870556</v>
      </c>
      <c r="D12" s="1132">
        <v>13766055</v>
      </c>
      <c r="E12" s="392"/>
      <c r="G12" s="692"/>
      <c r="H12" s="692"/>
      <c r="I12" s="692"/>
      <c r="J12" s="686"/>
      <c r="K12" s="692"/>
      <c r="L12" s="692"/>
      <c r="M12" s="692"/>
      <c r="N12" s="686"/>
      <c r="O12" s="692"/>
      <c r="P12" s="692"/>
      <c r="Q12" s="692"/>
    </row>
    <row r="13" spans="1:17" s="385" customFormat="1" ht="22.5" x14ac:dyDescent="0.2">
      <c r="A13" s="389" t="s">
        <v>2</v>
      </c>
      <c r="B13" s="387" t="s">
        <v>3</v>
      </c>
      <c r="C13" s="1132">
        <v>3898234007</v>
      </c>
      <c r="D13" s="1132">
        <v>2654141177</v>
      </c>
      <c r="E13" s="392"/>
      <c r="G13" s="692"/>
      <c r="H13" s="692"/>
      <c r="I13" s="692"/>
      <c r="J13" s="686"/>
      <c r="K13" s="692"/>
      <c r="L13" s="692"/>
      <c r="M13" s="692"/>
      <c r="N13" s="686"/>
      <c r="O13" s="692"/>
      <c r="P13" s="692"/>
      <c r="Q13" s="692"/>
    </row>
    <row r="14" spans="1:17" s="385" customFormat="1" x14ac:dyDescent="0.2">
      <c r="A14" s="389" t="s">
        <v>4</v>
      </c>
      <c r="B14" s="387" t="s">
        <v>5</v>
      </c>
      <c r="C14" s="1132">
        <v>2198887983</v>
      </c>
      <c r="D14" s="1132">
        <v>1821928488</v>
      </c>
      <c r="E14" s="392"/>
      <c r="G14" s="692"/>
      <c r="H14" s="692"/>
      <c r="I14" s="692"/>
      <c r="J14" s="686"/>
      <c r="K14" s="692"/>
      <c r="L14" s="692"/>
      <c r="M14" s="692"/>
      <c r="N14" s="686"/>
      <c r="O14" s="692"/>
      <c r="P14" s="692"/>
      <c r="Q14" s="692"/>
    </row>
    <row r="15" spans="1:17" s="385" customFormat="1" x14ac:dyDescent="0.2">
      <c r="A15" s="386" t="s">
        <v>6</v>
      </c>
      <c r="B15" s="387" t="s">
        <v>7</v>
      </c>
      <c r="C15" s="601">
        <f>SUM(C16:C19)</f>
        <v>388458959</v>
      </c>
      <c r="D15" s="601">
        <f t="shared" ref="D15:E15" si="2">SUM(D16:D19)</f>
        <v>67372850</v>
      </c>
      <c r="E15" s="601">
        <f t="shared" si="2"/>
        <v>0</v>
      </c>
      <c r="G15" s="688"/>
      <c r="H15" s="688"/>
      <c r="I15" s="693"/>
      <c r="J15" s="686"/>
      <c r="K15" s="688"/>
      <c r="L15" s="688"/>
      <c r="M15" s="693"/>
      <c r="N15" s="686"/>
      <c r="O15" s="688"/>
      <c r="P15" s="688"/>
      <c r="Q15" s="693"/>
    </row>
    <row r="16" spans="1:17" s="385" customFormat="1" x14ac:dyDescent="0.2">
      <c r="A16" s="389" t="s">
        <v>8</v>
      </c>
      <c r="B16" s="387" t="s">
        <v>9</v>
      </c>
      <c r="C16" s="391"/>
      <c r="D16" s="694"/>
      <c r="E16" s="392"/>
      <c r="G16" s="692"/>
      <c r="H16" s="692"/>
      <c r="I16" s="692"/>
      <c r="J16" s="686"/>
      <c r="K16" s="692"/>
      <c r="L16" s="692"/>
      <c r="M16" s="692"/>
      <c r="N16" s="686"/>
      <c r="O16" s="692"/>
      <c r="P16" s="692"/>
      <c r="Q16" s="692"/>
    </row>
    <row r="17" spans="1:17" s="385" customFormat="1" ht="22.5" x14ac:dyDescent="0.2">
      <c r="A17" s="389" t="s">
        <v>10</v>
      </c>
      <c r="B17" s="387" t="s">
        <v>244</v>
      </c>
      <c r="C17" s="391"/>
      <c r="D17" s="391"/>
      <c r="E17" s="392"/>
      <c r="G17" s="692"/>
      <c r="H17" s="692"/>
      <c r="I17" s="692"/>
      <c r="J17" s="686"/>
      <c r="K17" s="692"/>
      <c r="L17" s="692"/>
      <c r="M17" s="692"/>
      <c r="N17" s="686"/>
      <c r="O17" s="692"/>
      <c r="P17" s="692"/>
      <c r="Q17" s="692"/>
    </row>
    <row r="18" spans="1:17" s="385" customFormat="1" x14ac:dyDescent="0.2">
      <c r="A18" s="389" t="s">
        <v>11</v>
      </c>
      <c r="B18" s="387" t="s">
        <v>245</v>
      </c>
      <c r="C18" s="391"/>
      <c r="D18" s="391"/>
      <c r="E18" s="392"/>
      <c r="G18" s="692"/>
      <c r="H18" s="692"/>
      <c r="I18" s="692"/>
      <c r="J18" s="686"/>
      <c r="K18" s="692"/>
      <c r="L18" s="692"/>
      <c r="M18" s="692"/>
      <c r="N18" s="686"/>
      <c r="O18" s="692"/>
      <c r="P18" s="692"/>
      <c r="Q18" s="692"/>
    </row>
    <row r="19" spans="1:17" s="385" customFormat="1" x14ac:dyDescent="0.2">
      <c r="A19" s="389" t="s">
        <v>12</v>
      </c>
      <c r="B19" s="387" t="s">
        <v>246</v>
      </c>
      <c r="C19" s="1132">
        <v>388458959</v>
      </c>
      <c r="D19" s="1132">
        <v>67372850</v>
      </c>
      <c r="E19" s="392"/>
      <c r="G19" s="692"/>
      <c r="H19" s="692"/>
      <c r="I19" s="692"/>
      <c r="J19" s="686"/>
      <c r="K19" s="692"/>
      <c r="L19" s="692"/>
      <c r="M19" s="692"/>
      <c r="N19" s="686"/>
      <c r="O19" s="692"/>
      <c r="P19" s="692"/>
      <c r="Q19" s="692"/>
    </row>
    <row r="20" spans="1:17" s="385" customFormat="1" x14ac:dyDescent="0.2">
      <c r="A20" s="386" t="s">
        <v>13</v>
      </c>
      <c r="B20" s="387" t="s">
        <v>247</v>
      </c>
      <c r="C20" s="393">
        <f>SUM(C21:C24)</f>
        <v>0</v>
      </c>
      <c r="D20" s="393">
        <f t="shared" ref="D20:E20" si="3">SUM(D21:D24)</f>
        <v>0</v>
      </c>
      <c r="E20" s="393">
        <f t="shared" si="3"/>
        <v>0</v>
      </c>
      <c r="G20" s="693"/>
      <c r="H20" s="693"/>
      <c r="I20" s="693"/>
      <c r="J20" s="686"/>
      <c r="K20" s="693"/>
      <c r="L20" s="693"/>
      <c r="M20" s="693"/>
      <c r="N20" s="686"/>
      <c r="O20" s="693"/>
      <c r="P20" s="693"/>
      <c r="Q20" s="693"/>
    </row>
    <row r="21" spans="1:17" s="385" customFormat="1" x14ac:dyDescent="0.2">
      <c r="A21" s="389" t="s">
        <v>14</v>
      </c>
      <c r="B21" s="387" t="s">
        <v>250</v>
      </c>
      <c r="C21" s="391"/>
      <c r="D21" s="391"/>
      <c r="E21" s="392"/>
      <c r="G21" s="692"/>
      <c r="H21" s="692"/>
      <c r="I21" s="692"/>
      <c r="J21" s="686"/>
      <c r="K21" s="692"/>
      <c r="L21" s="692"/>
      <c r="M21" s="692"/>
      <c r="N21" s="686"/>
      <c r="O21" s="692"/>
      <c r="P21" s="692"/>
      <c r="Q21" s="692"/>
    </row>
    <row r="22" spans="1:17" s="385" customFormat="1" x14ac:dyDescent="0.2">
      <c r="A22" s="389" t="s">
        <v>15</v>
      </c>
      <c r="B22" s="387" t="s">
        <v>251</v>
      </c>
      <c r="C22" s="391"/>
      <c r="D22" s="391"/>
      <c r="E22" s="392"/>
      <c r="G22" s="692"/>
      <c r="H22" s="692"/>
      <c r="I22" s="692"/>
      <c r="J22" s="686"/>
      <c r="K22" s="692"/>
      <c r="L22" s="692"/>
      <c r="M22" s="692"/>
      <c r="N22" s="686"/>
      <c r="O22" s="692"/>
      <c r="P22" s="692"/>
      <c r="Q22" s="692"/>
    </row>
    <row r="23" spans="1:17" s="385" customFormat="1" x14ac:dyDescent="0.2">
      <c r="A23" s="389" t="s">
        <v>16</v>
      </c>
      <c r="B23" s="387" t="s">
        <v>252</v>
      </c>
      <c r="C23" s="391"/>
      <c r="D23" s="391"/>
      <c r="E23" s="392"/>
      <c r="G23" s="692"/>
      <c r="H23" s="692"/>
      <c r="I23" s="692"/>
      <c r="J23" s="686"/>
      <c r="K23" s="692"/>
      <c r="L23" s="692"/>
      <c r="M23" s="692"/>
      <c r="N23" s="686"/>
      <c r="O23" s="692"/>
      <c r="P23" s="692"/>
      <c r="Q23" s="692"/>
    </row>
    <row r="24" spans="1:17" s="385" customFormat="1" x14ac:dyDescent="0.2">
      <c r="A24" s="389" t="s">
        <v>17</v>
      </c>
      <c r="B24" s="387" t="s">
        <v>253</v>
      </c>
      <c r="C24" s="391"/>
      <c r="D24" s="391"/>
      <c r="E24" s="392"/>
      <c r="G24" s="692"/>
      <c r="H24" s="692"/>
      <c r="I24" s="692"/>
      <c r="J24" s="686"/>
      <c r="K24" s="692"/>
      <c r="L24" s="692"/>
      <c r="M24" s="692"/>
      <c r="N24" s="686"/>
      <c r="O24" s="692"/>
      <c r="P24" s="692"/>
      <c r="Q24" s="692"/>
    </row>
    <row r="25" spans="1:17" s="385" customFormat="1" x14ac:dyDescent="0.2">
      <c r="A25" s="386" t="s">
        <v>18</v>
      </c>
      <c r="B25" s="387" t="s">
        <v>254</v>
      </c>
      <c r="C25" s="601">
        <f>SUM(C26:C29)</f>
        <v>296097568</v>
      </c>
      <c r="D25" s="601">
        <f t="shared" ref="D25:E25" si="4">SUM(D26:D29)</f>
        <v>296097568</v>
      </c>
      <c r="E25" s="601">
        <f t="shared" si="4"/>
        <v>0</v>
      </c>
      <c r="G25" s="688"/>
      <c r="H25" s="688"/>
      <c r="I25" s="693"/>
      <c r="J25" s="686"/>
      <c r="K25" s="688"/>
      <c r="L25" s="688"/>
      <c r="M25" s="693"/>
      <c r="N25" s="686"/>
      <c r="O25" s="688"/>
      <c r="P25" s="688"/>
      <c r="Q25" s="693"/>
    </row>
    <row r="26" spans="1:17" s="385" customFormat="1" x14ac:dyDescent="0.2">
      <c r="A26" s="389" t="s">
        <v>19</v>
      </c>
      <c r="B26" s="387" t="s">
        <v>255</v>
      </c>
      <c r="C26" s="608"/>
      <c r="D26" s="694"/>
      <c r="E26" s="392"/>
      <c r="G26" s="695"/>
      <c r="H26" s="695"/>
      <c r="I26" s="692"/>
      <c r="J26" s="686"/>
      <c r="K26" s="695"/>
      <c r="L26" s="695"/>
      <c r="M26" s="692"/>
      <c r="N26" s="686"/>
      <c r="O26" s="695"/>
      <c r="P26" s="695"/>
      <c r="Q26" s="692"/>
    </row>
    <row r="27" spans="1:17" s="385" customFormat="1" x14ac:dyDescent="0.2">
      <c r="A27" s="389" t="s">
        <v>23</v>
      </c>
      <c r="B27" s="387" t="s">
        <v>256</v>
      </c>
      <c r="C27" s="391"/>
      <c r="D27" s="391"/>
      <c r="E27" s="392"/>
      <c r="G27" s="692"/>
      <c r="H27" s="692"/>
      <c r="I27" s="692"/>
      <c r="J27" s="686"/>
      <c r="K27" s="692"/>
      <c r="L27" s="692"/>
      <c r="M27" s="692"/>
      <c r="N27" s="686"/>
      <c r="O27" s="692"/>
      <c r="P27" s="692"/>
      <c r="Q27" s="692"/>
    </row>
    <row r="28" spans="1:17" s="385" customFormat="1" x14ac:dyDescent="0.2">
      <c r="A28" s="389" t="s">
        <v>24</v>
      </c>
      <c r="B28" s="387" t="s">
        <v>257</v>
      </c>
      <c r="C28" s="391"/>
      <c r="D28" s="391"/>
      <c r="E28" s="392"/>
      <c r="G28" s="692"/>
      <c r="H28" s="692"/>
      <c r="I28" s="692"/>
      <c r="J28" s="686"/>
      <c r="K28" s="692"/>
      <c r="L28" s="692"/>
      <c r="M28" s="692"/>
      <c r="N28" s="686"/>
      <c r="O28" s="692"/>
      <c r="P28" s="692"/>
      <c r="Q28" s="692"/>
    </row>
    <row r="29" spans="1:17" s="385" customFormat="1" x14ac:dyDescent="0.2">
      <c r="A29" s="389" t="s">
        <v>25</v>
      </c>
      <c r="B29" s="387" t="s">
        <v>258</v>
      </c>
      <c r="C29" s="1132">
        <v>296097568</v>
      </c>
      <c r="D29" s="1132">
        <v>296097568</v>
      </c>
      <c r="E29" s="392"/>
      <c r="G29" s="692"/>
      <c r="H29" s="692"/>
      <c r="I29" s="692"/>
      <c r="J29" s="686"/>
      <c r="K29" s="692"/>
      <c r="L29" s="692"/>
      <c r="M29" s="692"/>
      <c r="N29" s="686"/>
      <c r="O29" s="692"/>
      <c r="P29" s="692"/>
      <c r="Q29" s="692"/>
    </row>
    <row r="30" spans="1:17" s="385" customFormat="1" x14ac:dyDescent="0.2">
      <c r="A30" s="386" t="s">
        <v>26</v>
      </c>
      <c r="B30" s="387" t="s">
        <v>259</v>
      </c>
      <c r="C30" s="393">
        <f>+C31+C32+C33+C34</f>
        <v>0</v>
      </c>
      <c r="D30" s="393">
        <f>+D31+D32+D33+D34</f>
        <v>0</v>
      </c>
      <c r="E30" s="394">
        <f>+E31+E32+E33+E34</f>
        <v>0</v>
      </c>
      <c r="G30" s="693"/>
      <c r="H30" s="693"/>
      <c r="I30" s="693"/>
      <c r="J30" s="686"/>
      <c r="K30" s="693"/>
      <c r="L30" s="693"/>
      <c r="M30" s="693"/>
      <c r="N30" s="686"/>
      <c r="O30" s="693"/>
      <c r="P30" s="693"/>
      <c r="Q30" s="693"/>
    </row>
    <row r="31" spans="1:17" s="385" customFormat="1" x14ac:dyDescent="0.2">
      <c r="A31" s="389" t="s">
        <v>27</v>
      </c>
      <c r="B31" s="387" t="s">
        <v>260</v>
      </c>
      <c r="C31" s="391"/>
      <c r="D31" s="391"/>
      <c r="E31" s="392"/>
      <c r="G31" s="692"/>
      <c r="H31" s="692"/>
      <c r="I31" s="692"/>
      <c r="J31" s="686"/>
      <c r="K31" s="692"/>
      <c r="L31" s="692"/>
      <c r="M31" s="692"/>
      <c r="N31" s="686"/>
      <c r="O31" s="692"/>
      <c r="P31" s="692"/>
      <c r="Q31" s="692"/>
    </row>
    <row r="32" spans="1:17" s="385" customFormat="1" ht="22.5" x14ac:dyDescent="0.2">
      <c r="A32" s="389" t="s">
        <v>28</v>
      </c>
      <c r="B32" s="387" t="s">
        <v>261</v>
      </c>
      <c r="C32" s="391"/>
      <c r="D32" s="391"/>
      <c r="E32" s="392"/>
      <c r="G32" s="692"/>
      <c r="H32" s="692"/>
      <c r="I32" s="692"/>
      <c r="J32" s="686"/>
      <c r="K32" s="692"/>
      <c r="L32" s="692"/>
      <c r="M32" s="692"/>
      <c r="N32" s="686"/>
      <c r="O32" s="692"/>
      <c r="P32" s="692"/>
      <c r="Q32" s="692"/>
    </row>
    <row r="33" spans="1:17" s="385" customFormat="1" x14ac:dyDescent="0.2">
      <c r="A33" s="389" t="s">
        <v>29</v>
      </c>
      <c r="B33" s="387" t="s">
        <v>262</v>
      </c>
      <c r="C33" s="391"/>
      <c r="D33" s="391"/>
      <c r="E33" s="392"/>
      <c r="G33" s="692"/>
      <c r="H33" s="692"/>
      <c r="I33" s="692"/>
      <c r="J33" s="686"/>
      <c r="K33" s="692"/>
      <c r="L33" s="692"/>
      <c r="M33" s="692"/>
      <c r="N33" s="686"/>
      <c r="O33" s="692"/>
      <c r="P33" s="692"/>
      <c r="Q33" s="692"/>
    </row>
    <row r="34" spans="1:17" s="385" customFormat="1" x14ac:dyDescent="0.2">
      <c r="A34" s="389" t="s">
        <v>30</v>
      </c>
      <c r="B34" s="387" t="s">
        <v>263</v>
      </c>
      <c r="C34" s="391"/>
      <c r="D34" s="391"/>
      <c r="E34" s="392"/>
      <c r="G34" s="692"/>
      <c r="H34" s="692"/>
      <c r="I34" s="692"/>
      <c r="J34" s="686"/>
      <c r="K34" s="692"/>
      <c r="L34" s="692"/>
      <c r="M34" s="692"/>
      <c r="N34" s="686"/>
      <c r="O34" s="692"/>
      <c r="P34" s="692"/>
      <c r="Q34" s="692"/>
    </row>
    <row r="35" spans="1:17" s="385" customFormat="1" x14ac:dyDescent="0.2">
      <c r="A35" s="386" t="s">
        <v>31</v>
      </c>
      <c r="B35" s="387" t="s">
        <v>264</v>
      </c>
      <c r="C35" s="601">
        <f>C36+C41+C46</f>
        <v>28219000</v>
      </c>
      <c r="D35" s="601">
        <f t="shared" ref="D35:E35" si="5">D36+D41+D46</f>
        <v>28219000</v>
      </c>
      <c r="E35" s="601">
        <f t="shared" si="5"/>
        <v>0</v>
      </c>
      <c r="G35" s="688"/>
      <c r="H35" s="688"/>
      <c r="I35" s="688"/>
      <c r="J35" s="686"/>
      <c r="K35" s="688"/>
      <c r="L35" s="688"/>
      <c r="M35" s="688"/>
      <c r="N35" s="686"/>
      <c r="O35" s="688"/>
      <c r="P35" s="688"/>
      <c r="Q35" s="688"/>
    </row>
    <row r="36" spans="1:17" s="385" customFormat="1" x14ac:dyDescent="0.2">
      <c r="A36" s="386" t="s">
        <v>32</v>
      </c>
      <c r="B36" s="387" t="s">
        <v>265</v>
      </c>
      <c r="C36" s="601">
        <f>SUM(C37:C40)</f>
        <v>28219000</v>
      </c>
      <c r="D36" s="601">
        <f t="shared" ref="D36:E36" si="6">SUM(D37:D40)</f>
        <v>28219000</v>
      </c>
      <c r="E36" s="601">
        <f t="shared" si="6"/>
        <v>0</v>
      </c>
      <c r="G36" s="688"/>
      <c r="H36" s="688"/>
      <c r="I36" s="688"/>
      <c r="J36" s="686"/>
      <c r="K36" s="688"/>
      <c r="L36" s="688"/>
      <c r="M36" s="688"/>
      <c r="N36" s="686"/>
      <c r="O36" s="688"/>
      <c r="P36" s="688"/>
      <c r="Q36" s="688"/>
    </row>
    <row r="37" spans="1:17" s="385" customFormat="1" x14ac:dyDescent="0.2">
      <c r="A37" s="389" t="s">
        <v>33</v>
      </c>
      <c r="B37" s="387" t="s">
        <v>266</v>
      </c>
      <c r="C37" s="391"/>
      <c r="D37" s="694"/>
      <c r="E37" s="392"/>
      <c r="G37" s="692"/>
      <c r="H37" s="692"/>
      <c r="I37" s="692"/>
      <c r="J37" s="686"/>
      <c r="K37" s="692"/>
      <c r="L37" s="692"/>
      <c r="M37" s="692"/>
      <c r="N37" s="686"/>
      <c r="O37" s="692"/>
      <c r="P37" s="692"/>
      <c r="Q37" s="692"/>
    </row>
    <row r="38" spans="1:17" s="385" customFormat="1" x14ac:dyDescent="0.2">
      <c r="A38" s="389" t="s">
        <v>34</v>
      </c>
      <c r="B38" s="387" t="s">
        <v>267</v>
      </c>
      <c r="C38" s="391"/>
      <c r="D38" s="391"/>
      <c r="E38" s="392"/>
      <c r="G38" s="692"/>
      <c r="H38" s="692"/>
      <c r="I38" s="692"/>
      <c r="J38" s="686"/>
      <c r="K38" s="692"/>
      <c r="L38" s="692"/>
      <c r="M38" s="692"/>
      <c r="N38" s="686"/>
      <c r="O38" s="692"/>
      <c r="P38" s="692"/>
      <c r="Q38" s="692"/>
    </row>
    <row r="39" spans="1:17" s="385" customFormat="1" x14ac:dyDescent="0.2">
      <c r="A39" s="389" t="s">
        <v>35</v>
      </c>
      <c r="B39" s="387" t="s">
        <v>268</v>
      </c>
      <c r="C39" s="1132">
        <v>28190000</v>
      </c>
      <c r="D39" s="1132">
        <v>28190000</v>
      </c>
      <c r="E39" s="392"/>
      <c r="G39" s="692"/>
      <c r="H39" s="692"/>
      <c r="I39" s="692"/>
      <c r="J39" s="686"/>
      <c r="K39" s="692"/>
      <c r="L39" s="692"/>
      <c r="M39" s="692"/>
      <c r="N39" s="686"/>
      <c r="O39" s="692"/>
      <c r="P39" s="692"/>
      <c r="Q39" s="692"/>
    </row>
    <row r="40" spans="1:17" s="385" customFormat="1" x14ac:dyDescent="0.2">
      <c r="A40" s="389" t="s">
        <v>36</v>
      </c>
      <c r="B40" s="387" t="s">
        <v>269</v>
      </c>
      <c r="C40" s="1132">
        <v>29000</v>
      </c>
      <c r="D40" s="1132">
        <v>29000</v>
      </c>
      <c r="E40" s="392"/>
      <c r="G40" s="692"/>
      <c r="H40" s="692"/>
      <c r="I40" s="692"/>
      <c r="J40" s="686"/>
      <c r="K40" s="692"/>
      <c r="L40" s="692"/>
      <c r="M40" s="692"/>
      <c r="N40" s="686"/>
      <c r="O40" s="692"/>
      <c r="P40" s="692"/>
      <c r="Q40" s="692"/>
    </row>
    <row r="41" spans="1:17" s="385" customFormat="1" x14ac:dyDescent="0.2">
      <c r="A41" s="386" t="s">
        <v>37</v>
      </c>
      <c r="B41" s="387" t="s">
        <v>270</v>
      </c>
      <c r="C41" s="393">
        <f>SUM(C42:C45)</f>
        <v>0</v>
      </c>
      <c r="D41" s="393">
        <f t="shared" ref="D41:E41" si="7">SUM(D42:D45)</f>
        <v>0</v>
      </c>
      <c r="E41" s="393">
        <f t="shared" si="7"/>
        <v>0</v>
      </c>
      <c r="G41" s="693"/>
      <c r="H41" s="693"/>
      <c r="I41" s="693"/>
      <c r="J41" s="686"/>
      <c r="K41" s="693"/>
      <c r="L41" s="693"/>
      <c r="M41" s="693"/>
      <c r="N41" s="686"/>
      <c r="O41" s="693"/>
      <c r="P41" s="693"/>
      <c r="Q41" s="693"/>
    </row>
    <row r="42" spans="1:17" s="385" customFormat="1" x14ac:dyDescent="0.2">
      <c r="A42" s="389" t="s">
        <v>38</v>
      </c>
      <c r="B42" s="387" t="s">
        <v>271</v>
      </c>
      <c r="C42" s="391"/>
      <c r="D42" s="391"/>
      <c r="E42" s="392"/>
      <c r="G42" s="692"/>
      <c r="H42" s="692"/>
      <c r="I42" s="692"/>
      <c r="J42" s="686"/>
      <c r="K42" s="692"/>
      <c r="L42" s="692"/>
      <c r="M42" s="692"/>
      <c r="N42" s="686"/>
      <c r="O42" s="692"/>
      <c r="P42" s="692"/>
      <c r="Q42" s="692"/>
    </row>
    <row r="43" spans="1:17" s="385" customFormat="1" ht="22.5" x14ac:dyDescent="0.2">
      <c r="A43" s="389" t="s">
        <v>39</v>
      </c>
      <c r="B43" s="387" t="s">
        <v>272</v>
      </c>
      <c r="C43" s="391"/>
      <c r="D43" s="391"/>
      <c r="E43" s="392"/>
      <c r="G43" s="692"/>
      <c r="H43" s="692"/>
      <c r="I43" s="692"/>
      <c r="J43" s="686"/>
      <c r="K43" s="692"/>
      <c r="L43" s="692"/>
      <c r="M43" s="692"/>
      <c r="N43" s="686"/>
      <c r="O43" s="692"/>
      <c r="P43" s="692"/>
      <c r="Q43" s="692"/>
    </row>
    <row r="44" spans="1:17" s="385" customFormat="1" x14ac:dyDescent="0.2">
      <c r="A44" s="389" t="s">
        <v>40</v>
      </c>
      <c r="B44" s="387" t="s">
        <v>273</v>
      </c>
      <c r="C44" s="391"/>
      <c r="D44" s="391"/>
      <c r="E44" s="392"/>
      <c r="G44" s="692"/>
      <c r="H44" s="692"/>
      <c r="I44" s="692"/>
      <c r="J44" s="686"/>
      <c r="K44" s="692"/>
      <c r="L44" s="692"/>
      <c r="M44" s="692"/>
      <c r="N44" s="686"/>
      <c r="O44" s="692"/>
      <c r="P44" s="692"/>
      <c r="Q44" s="692"/>
    </row>
    <row r="45" spans="1:17" s="385" customFormat="1" x14ac:dyDescent="0.2">
      <c r="A45" s="389" t="s">
        <v>41</v>
      </c>
      <c r="B45" s="387" t="s">
        <v>274</v>
      </c>
      <c r="C45" s="391"/>
      <c r="D45" s="391"/>
      <c r="E45" s="392"/>
      <c r="G45" s="692"/>
      <c r="H45" s="692"/>
      <c r="I45" s="692"/>
      <c r="J45" s="686"/>
      <c r="K45" s="692"/>
      <c r="L45" s="692"/>
      <c r="M45" s="692"/>
      <c r="N45" s="686"/>
      <c r="O45" s="692"/>
      <c r="P45" s="692"/>
      <c r="Q45" s="692"/>
    </row>
    <row r="46" spans="1:17" s="385" customFormat="1" x14ac:dyDescent="0.2">
      <c r="A46" s="386" t="s">
        <v>42</v>
      </c>
      <c r="B46" s="387" t="s">
        <v>275</v>
      </c>
      <c r="C46" s="393">
        <f>SUM(C47:C50)</f>
        <v>0</v>
      </c>
      <c r="D46" s="393">
        <f t="shared" ref="D46:E46" si="8">SUM(D47:D50)</f>
        <v>0</v>
      </c>
      <c r="E46" s="393">
        <f t="shared" si="8"/>
        <v>0</v>
      </c>
      <c r="G46" s="693"/>
      <c r="H46" s="693"/>
      <c r="I46" s="693"/>
      <c r="J46" s="686"/>
      <c r="K46" s="693"/>
      <c r="L46" s="693"/>
      <c r="M46" s="693"/>
      <c r="N46" s="686"/>
      <c r="O46" s="693"/>
      <c r="P46" s="693"/>
      <c r="Q46" s="693"/>
    </row>
    <row r="47" spans="1:17" s="385" customFormat="1" x14ac:dyDescent="0.2">
      <c r="A47" s="389" t="s">
        <v>43</v>
      </c>
      <c r="B47" s="387" t="s">
        <v>276</v>
      </c>
      <c r="C47" s="391"/>
      <c r="D47" s="391"/>
      <c r="E47" s="392"/>
      <c r="G47" s="692"/>
      <c r="H47" s="692"/>
      <c r="I47" s="692"/>
      <c r="J47" s="686"/>
      <c r="K47" s="692"/>
      <c r="L47" s="692"/>
      <c r="M47" s="692"/>
      <c r="N47" s="686"/>
      <c r="O47" s="692"/>
      <c r="P47" s="692"/>
      <c r="Q47" s="692"/>
    </row>
    <row r="48" spans="1:17" s="385" customFormat="1" ht="22.5" x14ac:dyDescent="0.2">
      <c r="A48" s="389" t="s">
        <v>44</v>
      </c>
      <c r="B48" s="387" t="s">
        <v>277</v>
      </c>
      <c r="C48" s="391"/>
      <c r="D48" s="391"/>
      <c r="E48" s="392"/>
      <c r="G48" s="692"/>
      <c r="H48" s="692"/>
      <c r="I48" s="692"/>
      <c r="J48" s="686"/>
      <c r="K48" s="692"/>
      <c r="L48" s="692"/>
      <c r="M48" s="692"/>
      <c r="N48" s="686"/>
      <c r="O48" s="692"/>
      <c r="P48" s="692"/>
      <c r="Q48" s="692"/>
    </row>
    <row r="49" spans="1:17" s="385" customFormat="1" x14ac:dyDescent="0.2">
      <c r="A49" s="389" t="s">
        <v>45</v>
      </c>
      <c r="B49" s="387" t="s">
        <v>278</v>
      </c>
      <c r="C49" s="391"/>
      <c r="D49" s="391"/>
      <c r="E49" s="392"/>
      <c r="G49" s="692"/>
      <c r="H49" s="692"/>
      <c r="I49" s="692"/>
      <c r="J49" s="686"/>
      <c r="K49" s="692"/>
      <c r="L49" s="692"/>
      <c r="M49" s="692"/>
      <c r="N49" s="686"/>
      <c r="O49" s="692"/>
      <c r="P49" s="692"/>
      <c r="Q49" s="692"/>
    </row>
    <row r="50" spans="1:17" s="385" customFormat="1" x14ac:dyDescent="0.2">
      <c r="A50" s="389" t="s">
        <v>46</v>
      </c>
      <c r="B50" s="387" t="s">
        <v>279</v>
      </c>
      <c r="C50" s="391"/>
      <c r="D50" s="391"/>
      <c r="E50" s="392"/>
      <c r="G50" s="692"/>
      <c r="H50" s="692"/>
      <c r="I50" s="692"/>
      <c r="J50" s="686"/>
      <c r="K50" s="692"/>
      <c r="L50" s="692"/>
      <c r="M50" s="692"/>
      <c r="N50" s="686"/>
      <c r="O50" s="692"/>
      <c r="P50" s="692"/>
      <c r="Q50" s="692"/>
    </row>
    <row r="51" spans="1:17" s="385" customFormat="1" x14ac:dyDescent="0.2">
      <c r="A51" s="386" t="s">
        <v>47</v>
      </c>
      <c r="B51" s="387" t="s">
        <v>280</v>
      </c>
      <c r="C51" s="614">
        <v>17596361</v>
      </c>
      <c r="D51" s="614">
        <v>12643457</v>
      </c>
      <c r="E51" s="615"/>
      <c r="G51" s="685"/>
      <c r="H51" s="685"/>
      <c r="I51" s="685"/>
      <c r="J51" s="686"/>
      <c r="K51" s="685"/>
      <c r="L51" s="685"/>
      <c r="M51" s="685"/>
      <c r="N51" s="686"/>
      <c r="O51" s="685"/>
      <c r="P51" s="685"/>
      <c r="Q51" s="685"/>
    </row>
    <row r="52" spans="1:17" s="385" customFormat="1" ht="21" x14ac:dyDescent="0.2">
      <c r="A52" s="386" t="s">
        <v>48</v>
      </c>
      <c r="B52" s="387" t="s">
        <v>281</v>
      </c>
      <c r="C52" s="601">
        <f>C8+C9+C35+C51</f>
        <v>8314047909</v>
      </c>
      <c r="D52" s="601">
        <f t="shared" ref="D52:E52" si="9">D8+D9+D35+D51</f>
        <v>5715079842</v>
      </c>
      <c r="E52" s="601">
        <f t="shared" si="9"/>
        <v>0</v>
      </c>
      <c r="G52" s="688"/>
      <c r="H52" s="688"/>
      <c r="I52" s="688"/>
      <c r="J52" s="686"/>
      <c r="K52" s="688"/>
      <c r="L52" s="688"/>
      <c r="M52" s="688"/>
      <c r="N52" s="686"/>
      <c r="O52" s="688"/>
      <c r="P52" s="688"/>
      <c r="Q52" s="688"/>
    </row>
    <row r="53" spans="1:17" s="385" customFormat="1" x14ac:dyDescent="0.2">
      <c r="A53" s="386" t="s">
        <v>49</v>
      </c>
      <c r="B53" s="387" t="s">
        <v>282</v>
      </c>
      <c r="C53" s="614">
        <v>10250127</v>
      </c>
      <c r="D53" s="614">
        <v>10250127</v>
      </c>
      <c r="E53" s="615"/>
      <c r="G53" s="685"/>
      <c r="H53" s="685"/>
      <c r="I53" s="685"/>
      <c r="J53" s="686"/>
      <c r="K53" s="685"/>
      <c r="L53" s="685"/>
      <c r="M53" s="685"/>
      <c r="N53" s="686"/>
      <c r="O53" s="685"/>
      <c r="P53" s="685"/>
      <c r="Q53" s="685"/>
    </row>
    <row r="54" spans="1:17" s="385" customFormat="1" x14ac:dyDescent="0.2">
      <c r="A54" s="386" t="s">
        <v>50</v>
      </c>
      <c r="B54" s="387" t="s">
        <v>283</v>
      </c>
      <c r="C54" s="614">
        <v>0</v>
      </c>
      <c r="D54" s="614">
        <v>0</v>
      </c>
      <c r="E54" s="615"/>
      <c r="G54" s="685"/>
      <c r="H54" s="685"/>
      <c r="I54" s="685"/>
      <c r="J54" s="686"/>
      <c r="K54" s="685"/>
      <c r="L54" s="685"/>
      <c r="M54" s="685"/>
      <c r="N54" s="686"/>
      <c r="O54" s="685"/>
      <c r="P54" s="685"/>
      <c r="Q54" s="685"/>
    </row>
    <row r="55" spans="1:17" s="385" customFormat="1" x14ac:dyDescent="0.2">
      <c r="A55" s="386" t="s">
        <v>51</v>
      </c>
      <c r="B55" s="387" t="s">
        <v>288</v>
      </c>
      <c r="C55" s="601">
        <f>+C53+C54</f>
        <v>10250127</v>
      </c>
      <c r="D55" s="601">
        <f>+D53+D54</f>
        <v>10250127</v>
      </c>
      <c r="E55" s="613">
        <f>+E53+E54</f>
        <v>0</v>
      </c>
      <c r="G55" s="688"/>
      <c r="H55" s="688"/>
      <c r="I55" s="688"/>
      <c r="J55" s="686"/>
      <c r="K55" s="688"/>
      <c r="L55" s="688"/>
      <c r="M55" s="688"/>
      <c r="N55" s="686"/>
      <c r="O55" s="688"/>
      <c r="P55" s="688"/>
      <c r="Q55" s="688"/>
    </row>
    <row r="56" spans="1:17" s="385" customFormat="1" x14ac:dyDescent="0.2">
      <c r="A56" s="386" t="s">
        <v>52</v>
      </c>
      <c r="B56" s="387" t="s">
        <v>289</v>
      </c>
      <c r="C56" s="614"/>
      <c r="D56" s="614"/>
      <c r="E56" s="615"/>
      <c r="G56" s="685"/>
      <c r="H56" s="685"/>
      <c r="I56" s="685"/>
      <c r="J56" s="686"/>
      <c r="K56" s="685"/>
      <c r="L56" s="685"/>
      <c r="M56" s="685"/>
      <c r="N56" s="686"/>
      <c r="O56" s="685"/>
      <c r="P56" s="685"/>
      <c r="Q56" s="685"/>
    </row>
    <row r="57" spans="1:17" s="385" customFormat="1" x14ac:dyDescent="0.2">
      <c r="A57" s="386" t="s">
        <v>53</v>
      </c>
      <c r="B57" s="387" t="s">
        <v>290</v>
      </c>
      <c r="C57" s="614">
        <v>617080</v>
      </c>
      <c r="D57" s="614">
        <v>617080</v>
      </c>
      <c r="E57" s="615"/>
      <c r="G57" s="685"/>
      <c r="H57" s="685"/>
      <c r="I57" s="685"/>
      <c r="J57" s="686"/>
      <c r="K57" s="685"/>
      <c r="L57" s="685"/>
      <c r="M57" s="685"/>
      <c r="N57" s="686"/>
      <c r="O57" s="685"/>
      <c r="P57" s="685"/>
      <c r="Q57" s="685"/>
    </row>
    <row r="58" spans="1:17" s="385" customFormat="1" x14ac:dyDescent="0.2">
      <c r="A58" s="386" t="s">
        <v>54</v>
      </c>
      <c r="B58" s="387" t="s">
        <v>291</v>
      </c>
      <c r="C58" s="614">
        <v>372122742</v>
      </c>
      <c r="D58" s="614">
        <v>372122742</v>
      </c>
      <c r="E58" s="615"/>
      <c r="G58" s="685"/>
      <c r="H58" s="685"/>
      <c r="I58" s="685"/>
      <c r="J58" s="686"/>
      <c r="K58" s="685"/>
      <c r="L58" s="685"/>
      <c r="M58" s="685"/>
      <c r="N58" s="686"/>
      <c r="O58" s="685"/>
      <c r="P58" s="685"/>
      <c r="Q58" s="685"/>
    </row>
    <row r="59" spans="1:17" s="385" customFormat="1" x14ac:dyDescent="0.2">
      <c r="A59" s="386" t="s">
        <v>55</v>
      </c>
      <c r="B59" s="387" t="s">
        <v>292</v>
      </c>
      <c r="C59" s="614"/>
      <c r="D59" s="614"/>
      <c r="E59" s="615"/>
      <c r="G59" s="685"/>
      <c r="H59" s="685"/>
      <c r="I59" s="685"/>
      <c r="J59" s="686"/>
      <c r="K59" s="685"/>
      <c r="L59" s="685"/>
      <c r="M59" s="685"/>
      <c r="N59" s="686"/>
      <c r="O59" s="685"/>
      <c r="P59" s="685"/>
      <c r="Q59" s="685"/>
    </row>
    <row r="60" spans="1:17" s="385" customFormat="1" x14ac:dyDescent="0.2">
      <c r="A60" s="386" t="s">
        <v>56</v>
      </c>
      <c r="B60" s="387" t="s">
        <v>293</v>
      </c>
      <c r="C60" s="601">
        <f>+C56+C57+C58+C59</f>
        <v>372739822</v>
      </c>
      <c r="D60" s="601">
        <f>SUM(D56:D59)</f>
        <v>372739822</v>
      </c>
      <c r="E60" s="613">
        <f>+E56+E57+E58+E59</f>
        <v>0</v>
      </c>
      <c r="G60" s="688"/>
      <c r="H60" s="688"/>
      <c r="I60" s="688"/>
      <c r="J60" s="686"/>
      <c r="K60" s="688"/>
      <c r="L60" s="688"/>
      <c r="M60" s="688"/>
      <c r="N60" s="686"/>
      <c r="O60" s="688"/>
      <c r="P60" s="688"/>
      <c r="Q60" s="688"/>
    </row>
    <row r="61" spans="1:17" s="385" customFormat="1" x14ac:dyDescent="0.2">
      <c r="A61" s="386" t="s">
        <v>57</v>
      </c>
      <c r="B61" s="387" t="s">
        <v>294</v>
      </c>
      <c r="C61" s="614">
        <v>130479098</v>
      </c>
      <c r="D61" s="614">
        <v>128097090</v>
      </c>
      <c r="E61" s="615"/>
      <c r="G61" s="696"/>
      <c r="H61" s="696"/>
      <c r="I61" s="685"/>
      <c r="J61" s="686"/>
      <c r="K61" s="696"/>
      <c r="L61" s="696"/>
      <c r="M61" s="685"/>
      <c r="N61" s="686"/>
      <c r="O61" s="696"/>
      <c r="P61" s="696"/>
      <c r="Q61" s="685"/>
    </row>
    <row r="62" spans="1:17" s="385" customFormat="1" x14ac:dyDescent="0.2">
      <c r="A62" s="386" t="s">
        <v>58</v>
      </c>
      <c r="B62" s="387" t="s">
        <v>295</v>
      </c>
      <c r="C62" s="614">
        <v>121129818</v>
      </c>
      <c r="D62" s="614">
        <v>121129818</v>
      </c>
      <c r="E62" s="615"/>
      <c r="G62" s="685"/>
      <c r="H62" s="685"/>
      <c r="I62" s="685"/>
      <c r="J62" s="686"/>
      <c r="K62" s="685"/>
      <c r="L62" s="685"/>
      <c r="M62" s="685"/>
      <c r="N62" s="686"/>
      <c r="O62" s="685"/>
      <c r="P62" s="685"/>
      <c r="Q62" s="685"/>
    </row>
    <row r="63" spans="1:17" s="385" customFormat="1" x14ac:dyDescent="0.2">
      <c r="A63" s="386" t="s">
        <v>59</v>
      </c>
      <c r="B63" s="387" t="s">
        <v>296</v>
      </c>
      <c r="C63" s="614">
        <v>4376492</v>
      </c>
      <c r="D63" s="614">
        <v>4376492</v>
      </c>
      <c r="E63" s="615"/>
      <c r="G63" s="685"/>
      <c r="H63" s="685"/>
      <c r="I63" s="685"/>
      <c r="J63" s="686"/>
      <c r="K63" s="685"/>
      <c r="L63" s="685"/>
      <c r="M63" s="685"/>
      <c r="N63" s="686"/>
      <c r="O63" s="685"/>
      <c r="P63" s="685"/>
      <c r="Q63" s="685"/>
    </row>
    <row r="64" spans="1:17" s="385" customFormat="1" x14ac:dyDescent="0.2">
      <c r="A64" s="386" t="s">
        <v>60</v>
      </c>
      <c r="B64" s="387" t="s">
        <v>297</v>
      </c>
      <c r="C64" s="601">
        <f>+C61+C62+C63</f>
        <v>255985408</v>
      </c>
      <c r="D64" s="601">
        <f>+D61+D62+D63</f>
        <v>253603400</v>
      </c>
      <c r="E64" s="613">
        <f>+E61+E62+E63</f>
        <v>0</v>
      </c>
      <c r="G64" s="688"/>
      <c r="H64" s="688"/>
      <c r="I64" s="688"/>
      <c r="J64" s="686"/>
      <c r="K64" s="688"/>
      <c r="L64" s="688"/>
      <c r="M64" s="688"/>
      <c r="N64" s="686"/>
      <c r="O64" s="688"/>
      <c r="P64" s="688"/>
      <c r="Q64" s="688"/>
    </row>
    <row r="65" spans="1:17" s="385" customFormat="1" x14ac:dyDescent="0.2">
      <c r="A65" s="386" t="s">
        <v>357</v>
      </c>
      <c r="B65" s="387" t="s">
        <v>298</v>
      </c>
      <c r="C65" s="614">
        <v>9151418</v>
      </c>
      <c r="D65" s="614">
        <v>9151418</v>
      </c>
      <c r="E65" s="615"/>
      <c r="G65" s="685"/>
      <c r="H65" s="685"/>
      <c r="I65" s="685"/>
      <c r="J65" s="686"/>
      <c r="K65" s="685"/>
      <c r="L65" s="685"/>
      <c r="M65" s="685"/>
      <c r="N65" s="686"/>
      <c r="O65" s="685"/>
      <c r="P65" s="685"/>
      <c r="Q65" s="685"/>
    </row>
    <row r="66" spans="1:17" s="385" customFormat="1" x14ac:dyDescent="0.2">
      <c r="A66" s="386" t="s">
        <v>478</v>
      </c>
      <c r="B66" s="387" t="s">
        <v>299</v>
      </c>
      <c r="C66" s="614">
        <v>-2971836</v>
      </c>
      <c r="D66" s="614">
        <v>-2971836</v>
      </c>
      <c r="E66" s="615"/>
      <c r="G66" s="685"/>
      <c r="H66" s="685"/>
      <c r="I66" s="685"/>
      <c r="J66" s="686"/>
      <c r="K66" s="685"/>
      <c r="L66" s="685"/>
      <c r="M66" s="685"/>
      <c r="N66" s="686"/>
      <c r="O66" s="685"/>
      <c r="P66" s="685"/>
      <c r="Q66" s="685"/>
    </row>
    <row r="67" spans="1:17" s="385" customFormat="1" ht="21" x14ac:dyDescent="0.2">
      <c r="A67" s="386" t="s">
        <v>358</v>
      </c>
      <c r="B67" s="387" t="s">
        <v>300</v>
      </c>
      <c r="C67" s="614">
        <v>67500</v>
      </c>
      <c r="D67" s="614">
        <v>67500</v>
      </c>
      <c r="E67" s="615"/>
      <c r="G67" s="685"/>
      <c r="H67" s="685"/>
      <c r="I67" s="685"/>
      <c r="J67" s="686"/>
      <c r="K67" s="685"/>
      <c r="L67" s="685"/>
      <c r="M67" s="685"/>
      <c r="N67" s="686"/>
      <c r="O67" s="685"/>
      <c r="P67" s="685"/>
      <c r="Q67" s="685"/>
    </row>
    <row r="68" spans="1:17" s="385" customFormat="1" x14ac:dyDescent="0.2">
      <c r="A68" s="386" t="s">
        <v>369</v>
      </c>
      <c r="B68" s="387" t="s">
        <v>301</v>
      </c>
      <c r="C68" s="601">
        <f>SUM(C65:C67)</f>
        <v>6247082</v>
      </c>
      <c r="D68" s="601">
        <f>SUM(D65:D67)</f>
        <v>6247082</v>
      </c>
      <c r="E68" s="613">
        <f>+E65+E67</f>
        <v>0</v>
      </c>
      <c r="G68" s="688"/>
      <c r="H68" s="688"/>
      <c r="I68" s="688"/>
      <c r="J68" s="686"/>
      <c r="K68" s="688"/>
      <c r="L68" s="688"/>
      <c r="M68" s="688"/>
      <c r="N68" s="686"/>
      <c r="O68" s="688"/>
      <c r="P68" s="688"/>
      <c r="Q68" s="688"/>
    </row>
    <row r="69" spans="1:17" s="385" customFormat="1" x14ac:dyDescent="0.2">
      <c r="A69" s="386" t="s">
        <v>61</v>
      </c>
      <c r="B69" s="387" t="s">
        <v>302</v>
      </c>
      <c r="C69" s="614">
        <v>4041727</v>
      </c>
      <c r="D69" s="614">
        <v>4041727</v>
      </c>
      <c r="E69" s="615"/>
      <c r="G69" s="685"/>
      <c r="H69" s="685"/>
      <c r="I69" s="685"/>
      <c r="J69" s="686"/>
      <c r="K69" s="685"/>
      <c r="L69" s="685"/>
      <c r="M69" s="685"/>
      <c r="N69" s="686"/>
      <c r="O69" s="685"/>
      <c r="P69" s="685"/>
      <c r="Q69" s="685"/>
    </row>
    <row r="70" spans="1:17" s="385" customFormat="1" ht="16.5" thickBot="1" x14ac:dyDescent="0.25">
      <c r="A70" s="395" t="s">
        <v>359</v>
      </c>
      <c r="B70" s="396" t="s">
        <v>479</v>
      </c>
      <c r="C70" s="397">
        <f>+C52+C55+C60+C64+C68+C69</f>
        <v>8963312075</v>
      </c>
      <c r="D70" s="612">
        <f>+D52+D55+D60+D64+D68+D69</f>
        <v>6361962000</v>
      </c>
      <c r="E70" s="398">
        <f>+E52+E55+E60+E64+E68+E69</f>
        <v>0</v>
      </c>
      <c r="G70" s="687"/>
      <c r="H70" s="688"/>
      <c r="I70" s="687"/>
      <c r="J70" s="686"/>
      <c r="K70" s="687"/>
      <c r="L70" s="688"/>
      <c r="M70" s="687"/>
      <c r="N70" s="686"/>
      <c r="O70" s="687"/>
      <c r="P70" s="688"/>
      <c r="Q70" s="687"/>
    </row>
    <row r="71" spans="1:17" x14ac:dyDescent="0.25">
      <c r="A71" s="607"/>
      <c r="C71" s="400"/>
      <c r="D71" s="400"/>
      <c r="E71" s="401"/>
      <c r="G71" s="400"/>
      <c r="H71" s="400"/>
      <c r="I71" s="401"/>
    </row>
    <row r="72" spans="1:17" x14ac:dyDescent="0.25">
      <c r="A72" s="399"/>
      <c r="C72" s="400"/>
      <c r="D72" s="400"/>
      <c r="E72" s="401"/>
      <c r="G72" s="400"/>
      <c r="H72" s="400"/>
      <c r="I72" s="401"/>
    </row>
    <row r="73" spans="1:17" x14ac:dyDescent="0.25">
      <c r="A73" s="402"/>
      <c r="C73" s="400"/>
      <c r="D73" s="400"/>
      <c r="E73" s="401"/>
      <c r="G73" s="400"/>
      <c r="H73" s="400"/>
      <c r="I73" s="401"/>
    </row>
    <row r="74" spans="1:17" x14ac:dyDescent="0.25">
      <c r="A74" s="1257"/>
      <c r="B74" s="1257"/>
      <c r="C74" s="1257"/>
      <c r="D74" s="1257"/>
      <c r="E74" s="1257"/>
      <c r="H74" s="374"/>
      <c r="I74" s="374"/>
    </row>
    <row r="75" spans="1:17" x14ac:dyDescent="0.25">
      <c r="A75" s="1257"/>
      <c r="B75" s="1257"/>
      <c r="C75" s="1257"/>
      <c r="D75" s="1257"/>
      <c r="E75" s="1257"/>
      <c r="H75" s="374"/>
      <c r="I75" s="374"/>
    </row>
  </sheetData>
  <mergeCells count="26">
    <mergeCell ref="K3:M3"/>
    <mergeCell ref="O3:Q3"/>
    <mergeCell ref="C4:C5"/>
    <mergeCell ref="D4:D5"/>
    <mergeCell ref="E4:E5"/>
    <mergeCell ref="G4:G5"/>
    <mergeCell ref="A1:E1"/>
    <mergeCell ref="A2:E2"/>
    <mergeCell ref="C3:E3"/>
    <mergeCell ref="G3:I3"/>
    <mergeCell ref="A74:E74"/>
    <mergeCell ref="A75:E75"/>
    <mergeCell ref="P4:P5"/>
    <mergeCell ref="Q4:Q5"/>
    <mergeCell ref="C6:E6"/>
    <mergeCell ref="G6:I6"/>
    <mergeCell ref="K6:M6"/>
    <mergeCell ref="O6:Q6"/>
    <mergeCell ref="H4:H5"/>
    <mergeCell ref="I4:I5"/>
    <mergeCell ref="K4:K5"/>
    <mergeCell ref="L4:L5"/>
    <mergeCell ref="M4:M5"/>
    <mergeCell ref="O4:O5"/>
    <mergeCell ref="A4:A6"/>
    <mergeCell ref="B4:B6"/>
  </mergeCells>
  <printOptions horizontalCentered="1"/>
  <pageMargins left="0.78740157480314965" right="0.82343750000000004" top="1.0890625" bottom="0.98425196850393704" header="0.78740157480314965" footer="0.78740157480314965"/>
  <pageSetup paperSize="9" scale="85" orientation="portrait" verticalDpi="300" r:id="rId1"/>
  <headerFooter alignWithMargins="0">
    <oddHeader>&amp;R&amp;"Times New Roman,Félkövér dőlt"5.1 számú tájékoztató tábla a ../.....(....) önkormányzati rendelethez</oddHeader>
    <oddFooter>&amp;C&amp;P</oddFooter>
  </headerFooter>
  <rowBreaks count="1" manualBreakCount="1">
    <brk id="45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28"/>
  <sheetViews>
    <sheetView view="pageLayout" zoomScaleNormal="100" workbookViewId="0">
      <selection activeCell="H22" sqref="H22"/>
    </sheetView>
  </sheetViews>
  <sheetFormatPr defaultColWidth="8" defaultRowHeight="12.75" x14ac:dyDescent="0.2"/>
  <cols>
    <col min="1" max="1" width="61" style="405" customWidth="1"/>
    <col min="2" max="2" width="5.28515625" style="419" customWidth="1"/>
    <col min="3" max="3" width="15.42578125" style="404" customWidth="1"/>
    <col min="4" max="16384" width="8" style="404"/>
  </cols>
  <sheetData>
    <row r="1" spans="1:5" ht="18" customHeight="1" x14ac:dyDescent="0.2">
      <c r="A1" s="1275" t="s">
        <v>118</v>
      </c>
      <c r="B1" s="1275"/>
      <c r="C1" s="1275"/>
    </row>
    <row r="2" spans="1:5" ht="14.25" customHeight="1" x14ac:dyDescent="0.2">
      <c r="A2" s="1275" t="s">
        <v>123</v>
      </c>
      <c r="B2" s="1275"/>
      <c r="C2" s="1275"/>
    </row>
    <row r="3" spans="1:5" ht="14.25" x14ac:dyDescent="0.2">
      <c r="A3" s="1276" t="s">
        <v>812</v>
      </c>
      <c r="B3" s="1276"/>
      <c r="C3" s="1276"/>
    </row>
    <row r="5" spans="1:5" ht="13.5" thickBot="1" x14ac:dyDescent="0.25">
      <c r="A5" s="530"/>
      <c r="B5" s="1277" t="s">
        <v>124</v>
      </c>
      <c r="C5" s="1277"/>
    </row>
    <row r="6" spans="1:5" s="406" customFormat="1" ht="31.5" customHeight="1" x14ac:dyDescent="0.2">
      <c r="A6" s="1278" t="s">
        <v>62</v>
      </c>
      <c r="B6" s="1280" t="s">
        <v>413</v>
      </c>
      <c r="C6" s="1282" t="s">
        <v>63</v>
      </c>
    </row>
    <row r="7" spans="1:5" s="406" customFormat="1" ht="12.75" customHeight="1" x14ac:dyDescent="0.2">
      <c r="A7" s="1279"/>
      <c r="B7" s="1281"/>
      <c r="C7" s="1283"/>
      <c r="E7" s="404"/>
    </row>
    <row r="8" spans="1:5" s="410" customFormat="1" ht="13.5" thickBot="1" x14ac:dyDescent="0.25">
      <c r="A8" s="407" t="s">
        <v>446</v>
      </c>
      <c r="B8" s="408" t="s">
        <v>447</v>
      </c>
      <c r="C8" s="409" t="s">
        <v>448</v>
      </c>
    </row>
    <row r="9" spans="1:5" ht="15.75" customHeight="1" x14ac:dyDescent="0.2">
      <c r="A9" s="386" t="s">
        <v>64</v>
      </c>
      <c r="B9" s="411" t="s">
        <v>749</v>
      </c>
      <c r="C9" s="412">
        <v>10591849995</v>
      </c>
    </row>
    <row r="10" spans="1:5" ht="15.75" customHeight="1" x14ac:dyDescent="0.2">
      <c r="A10" s="386" t="s">
        <v>65</v>
      </c>
      <c r="B10" s="387" t="s">
        <v>751</v>
      </c>
      <c r="C10" s="412">
        <v>4473022</v>
      </c>
    </row>
    <row r="11" spans="1:5" ht="15.75" customHeight="1" x14ac:dyDescent="0.2">
      <c r="A11" s="386" t="s">
        <v>66</v>
      </c>
      <c r="B11" s="387" t="s">
        <v>753</v>
      </c>
      <c r="C11" s="412">
        <v>130575084</v>
      </c>
    </row>
    <row r="12" spans="1:5" ht="15.75" customHeight="1" x14ac:dyDescent="0.2">
      <c r="A12" s="386" t="s">
        <v>67</v>
      </c>
      <c r="B12" s="387" t="s">
        <v>755</v>
      </c>
      <c r="C12" s="413">
        <v>-5359405517</v>
      </c>
    </row>
    <row r="13" spans="1:5" ht="15.75" customHeight="1" x14ac:dyDescent="0.2">
      <c r="A13" s="386" t="s">
        <v>68</v>
      </c>
      <c r="B13" s="387" t="s">
        <v>1</v>
      </c>
      <c r="C13" s="413"/>
    </row>
    <row r="14" spans="1:5" ht="15.75" customHeight="1" x14ac:dyDescent="0.2">
      <c r="A14" s="386" t="s">
        <v>69</v>
      </c>
      <c r="B14" s="387" t="s">
        <v>3</v>
      </c>
      <c r="C14" s="413">
        <v>19283793</v>
      </c>
    </row>
    <row r="15" spans="1:5" ht="15.75" customHeight="1" x14ac:dyDescent="0.2">
      <c r="A15" s="386" t="s">
        <v>70</v>
      </c>
      <c r="B15" s="387" t="s">
        <v>5</v>
      </c>
      <c r="C15" s="414">
        <f>+C9+C10+C11+C12+C13+C14</f>
        <v>5386776377</v>
      </c>
    </row>
    <row r="16" spans="1:5" ht="15.75" customHeight="1" x14ac:dyDescent="0.2">
      <c r="A16" s="386" t="s">
        <v>71</v>
      </c>
      <c r="B16" s="387" t="s">
        <v>7</v>
      </c>
      <c r="C16" s="596">
        <v>1157197</v>
      </c>
    </row>
    <row r="17" spans="1:4" ht="15.75" customHeight="1" x14ac:dyDescent="0.2">
      <c r="A17" s="386" t="s">
        <v>72</v>
      </c>
      <c r="B17" s="387" t="s">
        <v>9</v>
      </c>
      <c r="C17" s="413">
        <v>139086476</v>
      </c>
    </row>
    <row r="18" spans="1:4" ht="15.75" customHeight="1" x14ac:dyDescent="0.2">
      <c r="A18" s="386" t="s">
        <v>73</v>
      </c>
      <c r="B18" s="387" t="s">
        <v>244</v>
      </c>
      <c r="C18" s="413">
        <v>41600199</v>
      </c>
    </row>
    <row r="19" spans="1:4" ht="15.75" customHeight="1" x14ac:dyDescent="0.2">
      <c r="A19" s="386" t="s">
        <v>74</v>
      </c>
      <c r="B19" s="387" t="s">
        <v>245</v>
      </c>
      <c r="C19" s="414">
        <f>+C16+C17+C18</f>
        <v>181843872</v>
      </c>
    </row>
    <row r="20" spans="1:4" ht="15.75" customHeight="1" x14ac:dyDescent="0.2">
      <c r="A20" s="386" t="s">
        <v>305</v>
      </c>
      <c r="B20" s="387" t="s">
        <v>246</v>
      </c>
      <c r="C20" s="414"/>
    </row>
    <row r="21" spans="1:4" s="415" customFormat="1" ht="15.75" customHeight="1" x14ac:dyDescent="0.2">
      <c r="A21" s="386" t="s">
        <v>306</v>
      </c>
      <c r="B21" s="387" t="s">
        <v>247</v>
      </c>
      <c r="C21" s="413"/>
    </row>
    <row r="22" spans="1:4" ht="15.75" customHeight="1" x14ac:dyDescent="0.2">
      <c r="A22" s="386" t="s">
        <v>307</v>
      </c>
      <c r="B22" s="387" t="s">
        <v>250</v>
      </c>
      <c r="C22" s="413">
        <v>793341751</v>
      </c>
    </row>
    <row r="23" spans="1:4" ht="15.75" customHeight="1" thickBot="1" x14ac:dyDescent="0.25">
      <c r="A23" s="416" t="s">
        <v>75</v>
      </c>
      <c r="B23" s="396" t="s">
        <v>251</v>
      </c>
      <c r="C23" s="417">
        <f>+C15+C19+C21+C22+C20</f>
        <v>6361962000</v>
      </c>
    </row>
    <row r="24" spans="1:4" ht="15.75" x14ac:dyDescent="0.25">
      <c r="A24" s="399"/>
      <c r="B24" s="402"/>
      <c r="C24" s="400"/>
      <c r="D24" s="400"/>
    </row>
    <row r="25" spans="1:4" ht="15.75" x14ac:dyDescent="0.25">
      <c r="A25" s="399"/>
      <c r="B25" s="402"/>
      <c r="C25" s="400"/>
      <c r="D25" s="400"/>
    </row>
    <row r="26" spans="1:4" ht="15.75" x14ac:dyDescent="0.25">
      <c r="A26" s="402"/>
      <c r="B26" s="402"/>
      <c r="C26" s="400"/>
      <c r="D26" s="400"/>
    </row>
    <row r="27" spans="1:4" ht="15.75" x14ac:dyDescent="0.25">
      <c r="A27" s="1274"/>
      <c r="B27" s="1274"/>
      <c r="C27" s="1274"/>
      <c r="D27" s="418"/>
    </row>
    <row r="28" spans="1:4" ht="15.75" x14ac:dyDescent="0.25">
      <c r="A28" s="1274"/>
      <c r="B28" s="1274"/>
      <c r="C28" s="1274"/>
      <c r="D28" s="418"/>
    </row>
  </sheetData>
  <mergeCells count="9">
    <mergeCell ref="A27:C27"/>
    <mergeCell ref="A28:C28"/>
    <mergeCell ref="A1:C1"/>
    <mergeCell ref="A3:C3"/>
    <mergeCell ref="B5:C5"/>
    <mergeCell ref="A6:A7"/>
    <mergeCell ref="B6:B7"/>
    <mergeCell ref="C6:C7"/>
    <mergeCell ref="A2:C2"/>
  </mergeCells>
  <phoneticPr fontId="24" type="noConversion"/>
  <printOptions horizontalCentered="1"/>
  <pageMargins left="0.78740157480314965" right="0.78740157480314965" top="1.246875" bottom="0.98425196850393704" header="0.78740157480314965" footer="0.78740157480314965"/>
  <pageSetup paperSize="9" scale="95" orientation="portrait" verticalDpi="300" r:id="rId1"/>
  <headerFooter alignWithMargins="0">
    <oddHeader>&amp;R&amp;"Times New Roman CE,Félkövér dőlt"5.2 számú tájékoztató tábla a ../.....(....)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  <pageSetUpPr fitToPage="1"/>
  </sheetPr>
  <dimension ref="A1:J33"/>
  <sheetViews>
    <sheetView zoomScaleNormal="100" zoomScaleSheetLayoutView="100" workbookViewId="0">
      <selection activeCell="C29" sqref="C29"/>
    </sheetView>
  </sheetViews>
  <sheetFormatPr defaultColWidth="8" defaultRowHeight="12.75" x14ac:dyDescent="0.2"/>
  <cols>
    <col min="1" max="1" width="5.85546875" style="94" customWidth="1"/>
    <col min="2" max="2" width="47.28515625" style="95" customWidth="1"/>
    <col min="3" max="5" width="14" style="94" customWidth="1"/>
    <col min="6" max="6" width="47.28515625" style="94" customWidth="1"/>
    <col min="7" max="9" width="14" style="94" customWidth="1"/>
    <col min="10" max="10" width="4.140625" style="94" customWidth="1"/>
    <col min="11" max="16384" width="8" style="94"/>
  </cols>
  <sheetData>
    <row r="1" spans="1:10" s="599" customFormat="1" ht="39.75" customHeight="1" x14ac:dyDescent="0.2">
      <c r="B1" s="603" t="s">
        <v>141</v>
      </c>
      <c r="C1" s="604"/>
      <c r="D1" s="604"/>
      <c r="E1" s="604"/>
      <c r="F1" s="604"/>
      <c r="G1" s="604"/>
      <c r="H1" s="604"/>
      <c r="I1" s="604"/>
      <c r="J1" s="1161" t="s">
        <v>820</v>
      </c>
    </row>
    <row r="2" spans="1:10" ht="14.25" thickBot="1" x14ac:dyDescent="0.25">
      <c r="G2" s="96"/>
      <c r="H2" s="96"/>
      <c r="I2" s="96" t="s">
        <v>490</v>
      </c>
      <c r="J2" s="1161"/>
    </row>
    <row r="3" spans="1:10" ht="24" customHeight="1" thickBot="1" x14ac:dyDescent="0.25">
      <c r="A3" s="1159" t="s">
        <v>394</v>
      </c>
      <c r="B3" s="97" t="s">
        <v>129</v>
      </c>
      <c r="C3" s="98"/>
      <c r="D3" s="98"/>
      <c r="E3" s="98"/>
      <c r="F3" s="97" t="s">
        <v>130</v>
      </c>
      <c r="G3" s="99"/>
      <c r="H3" s="99"/>
      <c r="I3" s="99"/>
      <c r="J3" s="1161"/>
    </row>
    <row r="4" spans="1:10" s="104" customFormat="1" ht="35.25" customHeight="1" thickBot="1" x14ac:dyDescent="0.25">
      <c r="A4" s="1160"/>
      <c r="B4" s="100" t="s">
        <v>220</v>
      </c>
      <c r="C4" s="101" t="s">
        <v>794</v>
      </c>
      <c r="D4" s="102" t="s">
        <v>797</v>
      </c>
      <c r="E4" s="101" t="s">
        <v>798</v>
      </c>
      <c r="F4" s="100" t="s">
        <v>220</v>
      </c>
      <c r="G4" s="101" t="s">
        <v>794</v>
      </c>
      <c r="H4" s="102" t="s">
        <v>797</v>
      </c>
      <c r="I4" s="101" t="s">
        <v>796</v>
      </c>
      <c r="J4" s="1161"/>
    </row>
    <row r="5" spans="1:10" s="104" customFormat="1" ht="13.5" thickBot="1" x14ac:dyDescent="0.25">
      <c r="A5" s="105" t="s">
        <v>446</v>
      </c>
      <c r="B5" s="106" t="s">
        <v>447</v>
      </c>
      <c r="C5" s="107" t="s">
        <v>448</v>
      </c>
      <c r="D5" s="107" t="s">
        <v>449</v>
      </c>
      <c r="E5" s="107" t="s">
        <v>450</v>
      </c>
      <c r="F5" s="106" t="s">
        <v>635</v>
      </c>
      <c r="G5" s="107" t="s">
        <v>636</v>
      </c>
      <c r="H5" s="107" t="s">
        <v>637</v>
      </c>
      <c r="I5" s="108" t="s">
        <v>638</v>
      </c>
      <c r="J5" s="1161"/>
    </row>
    <row r="6" spans="1:10" ht="12.95" customHeight="1" x14ac:dyDescent="0.2">
      <c r="A6" s="110" t="s">
        <v>228</v>
      </c>
      <c r="B6" s="111" t="s">
        <v>652</v>
      </c>
      <c r="C6" s="632">
        <f>'1.sz.mell.'!C20</f>
        <v>13442271</v>
      </c>
      <c r="D6" s="632">
        <f>'1.sz.mell.'!D20</f>
        <v>82911198</v>
      </c>
      <c r="E6" s="632">
        <f>'1.sz.mell.'!E20</f>
        <v>27196638</v>
      </c>
      <c r="F6" s="716" t="s">
        <v>142</v>
      </c>
      <c r="G6" s="246">
        <f>'1.sz.mell.'!C113</f>
        <v>306481603</v>
      </c>
      <c r="H6" s="246">
        <f>'1.sz.mell.'!D113</f>
        <v>374710583</v>
      </c>
      <c r="I6" s="1134">
        <f>'1.sz.mell.'!E113</f>
        <v>117395559</v>
      </c>
      <c r="J6" s="1161"/>
    </row>
    <row r="7" spans="1:10" x14ac:dyDescent="0.2">
      <c r="A7" s="112" t="s">
        <v>234</v>
      </c>
      <c r="B7" s="113"/>
      <c r="C7" s="633"/>
      <c r="D7" s="114"/>
      <c r="E7" s="114"/>
      <c r="F7" s="113"/>
      <c r="G7" s="114"/>
      <c r="H7" s="114"/>
      <c r="I7" s="115"/>
      <c r="J7" s="1161"/>
    </row>
    <row r="8" spans="1:10" ht="12.95" customHeight="1" x14ac:dyDescent="0.2">
      <c r="A8" s="112" t="s">
        <v>235</v>
      </c>
      <c r="B8" s="113" t="s">
        <v>653</v>
      </c>
      <c r="C8" s="633">
        <f>'1.sz.mell.'!C47</f>
        <v>30332500</v>
      </c>
      <c r="D8" s="633">
        <f>'1.sz.mell.'!D47</f>
        <v>30332500</v>
      </c>
      <c r="E8" s="633">
        <f>'1.sz.mell.'!E47</f>
        <v>9600404</v>
      </c>
      <c r="F8" s="113" t="s">
        <v>225</v>
      </c>
      <c r="G8" s="114">
        <f>'1.sz.mell.'!C114</f>
        <v>182810962</v>
      </c>
      <c r="H8" s="114">
        <f>'1.sz.mell.'!D114</f>
        <v>276110806</v>
      </c>
      <c r="I8" s="115">
        <f>'1.sz.mell.'!E114</f>
        <v>234332492</v>
      </c>
      <c r="J8" s="1161"/>
    </row>
    <row r="9" spans="1:10" ht="12.95" customHeight="1" x14ac:dyDescent="0.2">
      <c r="A9" s="112" t="s">
        <v>236</v>
      </c>
      <c r="B9" s="113" t="s">
        <v>654</v>
      </c>
      <c r="C9" s="114">
        <f>'1.sz.mell.'!C58</f>
        <v>0</v>
      </c>
      <c r="D9" s="114">
        <f>'1.sz.mell.'!D58</f>
        <v>0</v>
      </c>
      <c r="E9" s="114">
        <f>'1.sz.mell.'!E58</f>
        <v>20000</v>
      </c>
      <c r="F9" s="113"/>
      <c r="G9" s="114"/>
      <c r="H9" s="114"/>
      <c r="I9" s="115"/>
      <c r="J9" s="1161"/>
    </row>
    <row r="10" spans="1:10" ht="12.75" customHeight="1" x14ac:dyDescent="0.2">
      <c r="A10" s="112" t="s">
        <v>237</v>
      </c>
      <c r="B10" s="113"/>
      <c r="C10" s="114"/>
      <c r="D10" s="114"/>
      <c r="E10" s="114"/>
      <c r="F10" s="113" t="s">
        <v>143</v>
      </c>
      <c r="G10" s="114">
        <f>'1.sz.mell.'!C115</f>
        <v>65710721</v>
      </c>
      <c r="H10" s="114">
        <f>'1.sz.mell.'!D115</f>
        <v>66620721</v>
      </c>
      <c r="I10" s="115">
        <f>'1.sz.mell.'!E115</f>
        <v>45390849</v>
      </c>
      <c r="J10" s="1161"/>
    </row>
    <row r="11" spans="1:10" ht="12.95" customHeight="1" x14ac:dyDescent="0.2">
      <c r="A11" s="112" t="s">
        <v>240</v>
      </c>
      <c r="B11" s="113" t="s">
        <v>655</v>
      </c>
      <c r="C11" s="117"/>
      <c r="D11" s="117"/>
      <c r="E11" s="117"/>
      <c r="F11" s="133"/>
      <c r="G11" s="114"/>
      <c r="H11" s="114"/>
      <c r="I11" s="115"/>
      <c r="J11" s="1161"/>
    </row>
    <row r="12" spans="1:10" ht="12.95" customHeight="1" x14ac:dyDescent="0.2">
      <c r="A12" s="112" t="s">
        <v>241</v>
      </c>
      <c r="B12" s="118"/>
      <c r="C12" s="114"/>
      <c r="D12" s="114"/>
      <c r="E12" s="114"/>
      <c r="F12" s="133"/>
      <c r="G12" s="114"/>
      <c r="H12" s="114"/>
      <c r="I12" s="115"/>
      <c r="J12" s="1161"/>
    </row>
    <row r="13" spans="1:10" ht="12.95" customHeight="1" x14ac:dyDescent="0.2">
      <c r="A13" s="112" t="s">
        <v>242</v>
      </c>
      <c r="B13" s="118"/>
      <c r="C13" s="114"/>
      <c r="D13" s="114"/>
      <c r="E13" s="114"/>
      <c r="F13" s="134"/>
      <c r="G13" s="114"/>
      <c r="H13" s="114"/>
      <c r="I13" s="115"/>
      <c r="J13" s="1161"/>
    </row>
    <row r="14" spans="1:10" ht="12.95" customHeight="1" x14ac:dyDescent="0.2">
      <c r="A14" s="112" t="s">
        <v>243</v>
      </c>
      <c r="B14" s="135"/>
      <c r="C14" s="117"/>
      <c r="D14" s="117"/>
      <c r="E14" s="117"/>
      <c r="F14" s="133"/>
      <c r="G14" s="114"/>
      <c r="H14" s="114"/>
      <c r="I14" s="115"/>
      <c r="J14" s="1161"/>
    </row>
    <row r="15" spans="1:10" x14ac:dyDescent="0.2">
      <c r="A15" s="112" t="s">
        <v>244</v>
      </c>
      <c r="B15" s="118"/>
      <c r="C15" s="117"/>
      <c r="D15" s="117"/>
      <c r="E15" s="117"/>
      <c r="F15" s="133"/>
      <c r="G15" s="114"/>
      <c r="H15" s="114"/>
      <c r="I15" s="115"/>
      <c r="J15" s="1161"/>
    </row>
    <row r="16" spans="1:10" ht="12.95" customHeight="1" thickBot="1" x14ac:dyDescent="0.25">
      <c r="A16" s="136" t="s">
        <v>245</v>
      </c>
      <c r="B16" s="137"/>
      <c r="C16" s="138"/>
      <c r="D16" s="139"/>
      <c r="E16" s="140"/>
      <c r="F16" s="1135" t="s">
        <v>238</v>
      </c>
      <c r="G16" s="139">
        <v>11834524</v>
      </c>
      <c r="H16" s="139">
        <v>29991364</v>
      </c>
      <c r="I16" s="715">
        <f>'1.sz.mell.'!E124</f>
        <v>0</v>
      </c>
      <c r="J16" s="1161"/>
    </row>
    <row r="17" spans="1:10" ht="15.95" customHeight="1" thickBot="1" x14ac:dyDescent="0.25">
      <c r="A17" s="122" t="s">
        <v>246</v>
      </c>
      <c r="B17" s="123" t="s">
        <v>656</v>
      </c>
      <c r="C17" s="124">
        <f>+C6+C8+C9+C11+C12+C13+C14+C15+C16</f>
        <v>43774771</v>
      </c>
      <c r="D17" s="124">
        <f>+D6+D8+D9+D11+D12+D13+D14+D15+D16</f>
        <v>113243698</v>
      </c>
      <c r="E17" s="124">
        <f>+E6+E8+E9+E11+E12+E13+E14+E15+E16</f>
        <v>36817042</v>
      </c>
      <c r="F17" s="123" t="s">
        <v>657</v>
      </c>
      <c r="G17" s="124">
        <f>SUM(G6:G16)</f>
        <v>566837810</v>
      </c>
      <c r="H17" s="124">
        <f t="shared" ref="H17:I17" si="0">SUM(H6:H16)</f>
        <v>747433474</v>
      </c>
      <c r="I17" s="124">
        <f t="shared" si="0"/>
        <v>397118900</v>
      </c>
      <c r="J17" s="1161"/>
    </row>
    <row r="18" spans="1:10" ht="12.95" customHeight="1" x14ac:dyDescent="0.2">
      <c r="A18" s="110" t="s">
        <v>247</v>
      </c>
      <c r="B18" s="142" t="s">
        <v>144</v>
      </c>
      <c r="C18" s="143">
        <f>SUM(C19:C23)</f>
        <v>0</v>
      </c>
      <c r="D18" s="143">
        <f t="shared" ref="D18:E18" si="1">SUM(D19:D23)</f>
        <v>0</v>
      </c>
      <c r="E18" s="143">
        <f t="shared" si="1"/>
        <v>0</v>
      </c>
      <c r="F18" s="1136" t="s">
        <v>194</v>
      </c>
      <c r="G18" s="1137"/>
      <c r="H18" s="1137"/>
      <c r="I18" s="1138"/>
      <c r="J18" s="1161"/>
    </row>
    <row r="19" spans="1:10" ht="12.95" customHeight="1" x14ac:dyDescent="0.2">
      <c r="A19" s="112" t="s">
        <v>250</v>
      </c>
      <c r="B19" s="146" t="s">
        <v>145</v>
      </c>
      <c r="C19" s="128"/>
      <c r="D19" s="128"/>
      <c r="E19" s="128"/>
      <c r="F19" s="126" t="s">
        <v>197</v>
      </c>
      <c r="G19" s="128"/>
      <c r="H19" s="128"/>
      <c r="I19" s="147"/>
      <c r="J19" s="1161"/>
    </row>
    <row r="20" spans="1:10" ht="12.95" customHeight="1" x14ac:dyDescent="0.2">
      <c r="A20" s="110" t="s">
        <v>251</v>
      </c>
      <c r="B20" s="146" t="s">
        <v>146</v>
      </c>
      <c r="C20" s="128"/>
      <c r="D20" s="128"/>
      <c r="E20" s="128"/>
      <c r="F20" s="126" t="s">
        <v>353</v>
      </c>
      <c r="G20" s="128"/>
      <c r="H20" s="128"/>
      <c r="I20" s="147"/>
      <c r="J20" s="1161"/>
    </row>
    <row r="21" spans="1:10" ht="12.95" customHeight="1" x14ac:dyDescent="0.2">
      <c r="A21" s="112" t="s">
        <v>252</v>
      </c>
      <c r="B21" s="146" t="s">
        <v>147</v>
      </c>
      <c r="C21" s="128"/>
      <c r="D21" s="128"/>
      <c r="E21" s="128"/>
      <c r="F21" s="126" t="s">
        <v>370</v>
      </c>
      <c r="G21" s="128">
        <f>'1.sz.mell.'!C129</f>
        <v>8486704</v>
      </c>
      <c r="H21" s="128">
        <f>'1.sz.mell.'!D129</f>
        <v>8486704</v>
      </c>
      <c r="I21" s="147">
        <f>'1.sz.mell.'!E129</f>
        <v>8118704</v>
      </c>
      <c r="J21" s="1161"/>
    </row>
    <row r="22" spans="1:10" ht="12.95" customHeight="1" x14ac:dyDescent="0.2">
      <c r="A22" s="110" t="s">
        <v>253</v>
      </c>
      <c r="B22" s="146" t="s">
        <v>148</v>
      </c>
      <c r="C22" s="128"/>
      <c r="D22" s="128"/>
      <c r="E22" s="128"/>
      <c r="F22" s="125" t="s">
        <v>136</v>
      </c>
      <c r="G22" s="128"/>
      <c r="H22" s="128"/>
      <c r="I22" s="147"/>
      <c r="J22" s="1161"/>
    </row>
    <row r="23" spans="1:10" ht="12.95" customHeight="1" x14ac:dyDescent="0.2">
      <c r="A23" s="112" t="s">
        <v>254</v>
      </c>
      <c r="B23" s="148" t="s">
        <v>149</v>
      </c>
      <c r="C23" s="128"/>
      <c r="D23" s="128"/>
      <c r="E23" s="128"/>
      <c r="F23" s="126" t="s">
        <v>198</v>
      </c>
      <c r="G23" s="128"/>
      <c r="H23" s="128"/>
      <c r="I23" s="147"/>
      <c r="J23" s="1161"/>
    </row>
    <row r="24" spans="1:10" ht="12.95" customHeight="1" x14ac:dyDescent="0.2">
      <c r="A24" s="110" t="s">
        <v>255</v>
      </c>
      <c r="B24" s="149" t="s">
        <v>150</v>
      </c>
      <c r="C24" s="129">
        <f>SUM(C25:C29)</f>
        <v>93478462</v>
      </c>
      <c r="D24" s="129">
        <f t="shared" ref="D24:E24" si="2">SUM(D25:D29)</f>
        <v>112343590</v>
      </c>
      <c r="E24" s="129">
        <f t="shared" si="2"/>
        <v>63319557</v>
      </c>
      <c r="F24" s="150" t="s">
        <v>196</v>
      </c>
      <c r="G24" s="128"/>
      <c r="H24" s="128"/>
      <c r="I24" s="147"/>
      <c r="J24" s="1161"/>
    </row>
    <row r="25" spans="1:10" ht="12.95" customHeight="1" x14ac:dyDescent="0.2">
      <c r="A25" s="112" t="s">
        <v>256</v>
      </c>
      <c r="B25" s="148" t="s">
        <v>151</v>
      </c>
      <c r="C25" s="128">
        <f>'1.sz.mell.'!C65</f>
        <v>93478462</v>
      </c>
      <c r="D25" s="128">
        <f>'1.sz.mell.'!D65</f>
        <v>112343590</v>
      </c>
      <c r="E25" s="128">
        <f>'1.sz.mell.'!E65</f>
        <v>63319557</v>
      </c>
      <c r="F25" s="150" t="s">
        <v>658</v>
      </c>
      <c r="G25" s="128"/>
      <c r="H25" s="128"/>
      <c r="I25" s="147"/>
      <c r="J25" s="1161"/>
    </row>
    <row r="26" spans="1:10" ht="12.95" customHeight="1" x14ac:dyDescent="0.2">
      <c r="A26" s="110" t="s">
        <v>257</v>
      </c>
      <c r="B26" s="148" t="s">
        <v>152</v>
      </c>
      <c r="C26" s="128"/>
      <c r="D26" s="128"/>
      <c r="E26" s="128"/>
      <c r="F26" s="151"/>
      <c r="G26" s="128"/>
      <c r="H26" s="128"/>
      <c r="I26" s="147"/>
      <c r="J26" s="1161"/>
    </row>
    <row r="27" spans="1:10" ht="12.95" customHeight="1" x14ac:dyDescent="0.2">
      <c r="A27" s="112" t="s">
        <v>258</v>
      </c>
      <c r="B27" s="146" t="s">
        <v>153</v>
      </c>
      <c r="C27" s="128"/>
      <c r="D27" s="128"/>
      <c r="E27" s="128"/>
      <c r="F27" s="152"/>
      <c r="G27" s="128"/>
      <c r="H27" s="128"/>
      <c r="I27" s="147"/>
      <c r="J27" s="1161"/>
    </row>
    <row r="28" spans="1:10" ht="12.95" customHeight="1" x14ac:dyDescent="0.2">
      <c r="A28" s="110" t="s">
        <v>259</v>
      </c>
      <c r="B28" s="153" t="s">
        <v>154</v>
      </c>
      <c r="C28" s="128"/>
      <c r="D28" s="128"/>
      <c r="E28" s="128"/>
      <c r="F28" s="118"/>
      <c r="G28" s="128"/>
      <c r="H28" s="128"/>
      <c r="I28" s="147"/>
      <c r="J28" s="1161"/>
    </row>
    <row r="29" spans="1:10" ht="12.95" customHeight="1" thickBot="1" x14ac:dyDescent="0.25">
      <c r="A29" s="112" t="s">
        <v>260</v>
      </c>
      <c r="B29" s="154" t="s">
        <v>192</v>
      </c>
      <c r="C29" s="128"/>
      <c r="D29" s="128"/>
      <c r="E29" s="128"/>
      <c r="F29" s="1139"/>
      <c r="G29" s="261"/>
      <c r="H29" s="261"/>
      <c r="I29" s="658"/>
      <c r="J29" s="1161"/>
    </row>
    <row r="30" spans="1:10" ht="21.75" customHeight="1" thickBot="1" x14ac:dyDescent="0.25">
      <c r="A30" s="122" t="s">
        <v>261</v>
      </c>
      <c r="B30" s="123" t="s">
        <v>659</v>
      </c>
      <c r="C30" s="124">
        <f>+C18+C24</f>
        <v>93478462</v>
      </c>
      <c r="D30" s="124">
        <f>+D18+D24</f>
        <v>112343590</v>
      </c>
      <c r="E30" s="124">
        <f>+E18+E24</f>
        <v>63319557</v>
      </c>
      <c r="F30" s="123" t="s">
        <v>660</v>
      </c>
      <c r="G30" s="124">
        <f>SUM(G18:G29)</f>
        <v>8486704</v>
      </c>
      <c r="H30" s="124">
        <f>SUM(H18:H29)</f>
        <v>8486704</v>
      </c>
      <c r="I30" s="141">
        <f>SUM(I18:I29)</f>
        <v>8118704</v>
      </c>
      <c r="J30" s="1161"/>
    </row>
    <row r="31" spans="1:10" ht="16.5" customHeight="1" thickBot="1" x14ac:dyDescent="0.25">
      <c r="A31" s="122" t="s">
        <v>262</v>
      </c>
      <c r="B31" s="130" t="s">
        <v>661</v>
      </c>
      <c r="C31" s="131">
        <f>+C17+C30</f>
        <v>137253233</v>
      </c>
      <c r="D31" s="131">
        <f>+D17+D30</f>
        <v>225587288</v>
      </c>
      <c r="E31" s="132">
        <f>+E17+E30</f>
        <v>100136599</v>
      </c>
      <c r="F31" s="130" t="s">
        <v>662</v>
      </c>
      <c r="G31" s="131">
        <f>+G17+G30</f>
        <v>575324514</v>
      </c>
      <c r="H31" s="131">
        <f>+H17+H30</f>
        <v>755920178</v>
      </c>
      <c r="I31" s="155">
        <f>+I17+I30</f>
        <v>405237604</v>
      </c>
      <c r="J31" s="1161"/>
    </row>
    <row r="32" spans="1:10" ht="16.5" customHeight="1" thickBot="1" x14ac:dyDescent="0.25">
      <c r="A32" s="122" t="s">
        <v>263</v>
      </c>
      <c r="B32" s="130" t="s">
        <v>137</v>
      </c>
      <c r="C32" s="131">
        <f>IF(C17-G17&lt;0,G17-C17,"-")</f>
        <v>523063039</v>
      </c>
      <c r="D32" s="131">
        <f>IF(D17-H17&lt;0,H17-D17,"-")</f>
        <v>634189776</v>
      </c>
      <c r="E32" s="132">
        <f>IF(E17-I17&lt;0,I17-E17,"-")</f>
        <v>360301858</v>
      </c>
      <c r="F32" s="130" t="s">
        <v>138</v>
      </c>
      <c r="G32" s="131" t="str">
        <f>IF(C17-G17&gt;0,C17-G17,"-")</f>
        <v>-</v>
      </c>
      <c r="H32" s="131" t="str">
        <f>IF(D17-H17&gt;0,D17-H17,"-")</f>
        <v>-</v>
      </c>
      <c r="I32" s="155" t="str">
        <f>IF(E17-I17&gt;0,E17-I17,"-")</f>
        <v>-</v>
      </c>
      <c r="J32" s="1161"/>
    </row>
    <row r="33" spans="1:10" ht="16.5" customHeight="1" thickBot="1" x14ac:dyDescent="0.25">
      <c r="A33" s="122" t="s">
        <v>264</v>
      </c>
      <c r="B33" s="130" t="s">
        <v>139</v>
      </c>
      <c r="C33" s="131" t="str">
        <f>IF(C30-G30&lt;0,C30-G30,"-")</f>
        <v>-</v>
      </c>
      <c r="D33" s="131" t="str">
        <f t="shared" ref="D33:E33" si="3">IF(D30-H30&lt;0,D30-H30,"-")</f>
        <v>-</v>
      </c>
      <c r="E33" s="131" t="str">
        <f t="shared" si="3"/>
        <v>-</v>
      </c>
      <c r="F33" s="130" t="s">
        <v>140</v>
      </c>
      <c r="G33" s="131">
        <f>IF(C30-G30&gt;0,C30-G30,"-")</f>
        <v>84991758</v>
      </c>
      <c r="H33" s="131">
        <f t="shared" ref="H33:I33" si="4">IF(D30-H30&gt;0,D30-H30,"-")</f>
        <v>103856886</v>
      </c>
      <c r="I33" s="155">
        <f t="shared" si="4"/>
        <v>55200853</v>
      </c>
      <c r="J33" s="1161"/>
    </row>
  </sheetData>
  <mergeCells count="2">
    <mergeCell ref="A3:A4"/>
    <mergeCell ref="J1:J33"/>
  </mergeCells>
  <phoneticPr fontId="24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3" orientation="landscape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46"/>
  <sheetViews>
    <sheetView view="pageLayout" zoomScaleNormal="100" workbookViewId="0">
      <selection activeCell="E13" sqref="E13"/>
    </sheetView>
  </sheetViews>
  <sheetFormatPr defaultColWidth="10.28515625" defaultRowHeight="15.75" x14ac:dyDescent="0.25"/>
  <cols>
    <col min="1" max="1" width="50.42578125" style="420" customWidth="1"/>
    <col min="2" max="2" width="5.85546875" style="420" customWidth="1"/>
    <col min="3" max="3" width="14.7109375" style="420" customWidth="1"/>
    <col min="4" max="4" width="16.42578125" style="420" customWidth="1"/>
    <col min="5" max="16384" width="10.28515625" style="420"/>
  </cols>
  <sheetData>
    <row r="1" spans="1:4" ht="18.75" customHeight="1" x14ac:dyDescent="0.25">
      <c r="A1" s="1284" t="s">
        <v>120</v>
      </c>
      <c r="B1" s="1284"/>
      <c r="C1" s="1284"/>
      <c r="D1" s="1284"/>
    </row>
    <row r="2" spans="1:4" ht="18.75" customHeight="1" x14ac:dyDescent="0.25">
      <c r="A2" s="1284" t="s">
        <v>121</v>
      </c>
      <c r="B2" s="1284"/>
      <c r="C2" s="1284"/>
      <c r="D2" s="1284"/>
    </row>
    <row r="3" spans="1:4" ht="16.5" customHeight="1" x14ac:dyDescent="0.25">
      <c r="A3" s="1284" t="s">
        <v>158</v>
      </c>
      <c r="B3" s="1284"/>
      <c r="C3" s="1284"/>
      <c r="D3" s="1284"/>
    </row>
    <row r="4" spans="1:4" ht="16.5" thickBot="1" x14ac:dyDescent="0.3">
      <c r="A4" s="531"/>
    </row>
    <row r="5" spans="1:4" ht="43.5" customHeight="1" thickBot="1" x14ac:dyDescent="0.3">
      <c r="A5" s="421" t="s">
        <v>220</v>
      </c>
      <c r="B5" s="376" t="s">
        <v>413</v>
      </c>
      <c r="C5" s="422" t="s">
        <v>76</v>
      </c>
      <c r="D5" s="423" t="s">
        <v>229</v>
      </c>
    </row>
    <row r="6" spans="1:4" ht="16.5" thickBot="1" x14ac:dyDescent="0.3">
      <c r="A6" s="424" t="s">
        <v>446</v>
      </c>
      <c r="B6" s="425" t="s">
        <v>447</v>
      </c>
      <c r="C6" s="425" t="s">
        <v>448</v>
      </c>
      <c r="D6" s="426" t="s">
        <v>449</v>
      </c>
    </row>
    <row r="7" spans="1:4" ht="15.75" customHeight="1" x14ac:dyDescent="0.25">
      <c r="A7" s="427" t="s">
        <v>360</v>
      </c>
      <c r="B7" s="428" t="s">
        <v>228</v>
      </c>
      <c r="C7" s="429">
        <v>799</v>
      </c>
      <c r="D7" s="430">
        <v>76873685</v>
      </c>
    </row>
    <row r="8" spans="1:4" ht="15.75" customHeight="1" x14ac:dyDescent="0.25">
      <c r="A8" s="427" t="s">
        <v>77</v>
      </c>
      <c r="B8" s="431" t="s">
        <v>234</v>
      </c>
      <c r="C8" s="432">
        <v>2</v>
      </c>
      <c r="D8" s="433"/>
    </row>
    <row r="9" spans="1:4" ht="15.75" customHeight="1" x14ac:dyDescent="0.25">
      <c r="A9" s="427" t="s">
        <v>78</v>
      </c>
      <c r="B9" s="431" t="s">
        <v>235</v>
      </c>
      <c r="C9" s="432">
        <v>82216</v>
      </c>
      <c r="D9" s="433">
        <v>47492348</v>
      </c>
    </row>
    <row r="10" spans="1:4" ht="15.75" customHeight="1" thickBot="1" x14ac:dyDescent="0.3">
      <c r="A10" s="434" t="s">
        <v>79</v>
      </c>
      <c r="B10" s="435" t="s">
        <v>236</v>
      </c>
      <c r="C10" s="436"/>
      <c r="D10" s="437">
        <v>3467932</v>
      </c>
    </row>
    <row r="11" spans="1:4" ht="15.75" customHeight="1" thickBot="1" x14ac:dyDescent="0.3">
      <c r="A11" s="438" t="s">
        <v>80</v>
      </c>
      <c r="B11" s="439" t="s">
        <v>237</v>
      </c>
      <c r="C11" s="697">
        <f>+C12+C13+C14+C15</f>
        <v>1524</v>
      </c>
      <c r="D11" s="697">
        <f>SUM(D12:D15)</f>
        <v>0</v>
      </c>
    </row>
    <row r="12" spans="1:4" ht="15.75" customHeight="1" x14ac:dyDescent="0.25">
      <c r="A12" s="442" t="s">
        <v>81</v>
      </c>
      <c r="B12" s="428" t="s">
        <v>240</v>
      </c>
      <c r="C12" s="429">
        <v>1524</v>
      </c>
      <c r="D12" s="430"/>
    </row>
    <row r="13" spans="1:4" ht="15.75" customHeight="1" x14ac:dyDescent="0.25">
      <c r="A13" s="427" t="s">
        <v>82</v>
      </c>
      <c r="B13" s="431" t="s">
        <v>241</v>
      </c>
      <c r="C13" s="432"/>
      <c r="D13" s="433"/>
    </row>
    <row r="14" spans="1:4" ht="15.75" customHeight="1" x14ac:dyDescent="0.25">
      <c r="A14" s="427" t="s">
        <v>83</v>
      </c>
      <c r="B14" s="431" t="s">
        <v>242</v>
      </c>
      <c r="C14" s="432"/>
      <c r="D14" s="433"/>
    </row>
    <row r="15" spans="1:4" ht="15.75" customHeight="1" thickBot="1" x14ac:dyDescent="0.3">
      <c r="A15" s="434" t="s">
        <v>84</v>
      </c>
      <c r="B15" s="435" t="s">
        <v>243</v>
      </c>
      <c r="C15" s="436"/>
      <c r="D15" s="437"/>
    </row>
    <row r="16" spans="1:4" ht="15.75" customHeight="1" thickBot="1" x14ac:dyDescent="0.3">
      <c r="A16" s="438" t="s">
        <v>85</v>
      </c>
      <c r="B16" s="439" t="s">
        <v>244</v>
      </c>
      <c r="C16" s="440"/>
      <c r="D16" s="441"/>
    </row>
    <row r="17" spans="1:4" ht="15.75" customHeight="1" x14ac:dyDescent="0.25">
      <c r="A17" s="442" t="s">
        <v>86</v>
      </c>
      <c r="B17" s="428" t="s">
        <v>245</v>
      </c>
      <c r="C17" s="429"/>
      <c r="D17" s="430"/>
    </row>
    <row r="18" spans="1:4" ht="15.75" customHeight="1" x14ac:dyDescent="0.25">
      <c r="A18" s="427" t="s">
        <v>87</v>
      </c>
      <c r="B18" s="431" t="s">
        <v>246</v>
      </c>
      <c r="C18" s="432"/>
      <c r="D18" s="433"/>
    </row>
    <row r="19" spans="1:4" ht="15.75" customHeight="1" thickBot="1" x14ac:dyDescent="0.3">
      <c r="A19" s="434" t="s">
        <v>88</v>
      </c>
      <c r="B19" s="435" t="s">
        <v>247</v>
      </c>
      <c r="C19" s="436"/>
      <c r="D19" s="437"/>
    </row>
    <row r="20" spans="1:4" ht="15.75" customHeight="1" thickBot="1" x14ac:dyDescent="0.3">
      <c r="A20" s="438" t="s">
        <v>89</v>
      </c>
      <c r="B20" s="439" t="s">
        <v>250</v>
      </c>
      <c r="C20" s="600">
        <f>SUM(C21:C24)</f>
        <v>80955</v>
      </c>
      <c r="D20" s="441">
        <f>+D21+D22+D23</f>
        <v>0</v>
      </c>
    </row>
    <row r="21" spans="1:4" ht="15.75" customHeight="1" x14ac:dyDescent="0.25">
      <c r="A21" s="442" t="s">
        <v>90</v>
      </c>
      <c r="B21" s="428" t="s">
        <v>251</v>
      </c>
      <c r="C21" s="429">
        <v>36553</v>
      </c>
      <c r="D21" s="430"/>
    </row>
    <row r="22" spans="1:4" ht="15.75" customHeight="1" x14ac:dyDescent="0.25">
      <c r="A22" s="427" t="s">
        <v>91</v>
      </c>
      <c r="B22" s="431" t="s">
        <v>252</v>
      </c>
      <c r="C22" s="432">
        <v>33824</v>
      </c>
      <c r="D22" s="433"/>
    </row>
    <row r="23" spans="1:4" ht="15.75" customHeight="1" x14ac:dyDescent="0.25">
      <c r="A23" s="427" t="s">
        <v>92</v>
      </c>
      <c r="B23" s="431" t="s">
        <v>253</v>
      </c>
      <c r="C23" s="432">
        <v>8418</v>
      </c>
      <c r="D23" s="433"/>
    </row>
    <row r="24" spans="1:4" ht="15.75" customHeight="1" x14ac:dyDescent="0.25">
      <c r="A24" s="427" t="s">
        <v>93</v>
      </c>
      <c r="B24" s="431" t="s">
        <v>254</v>
      </c>
      <c r="C24" s="432">
        <v>2160</v>
      </c>
      <c r="D24" s="433"/>
    </row>
    <row r="25" spans="1:4" ht="15.75" customHeight="1" x14ac:dyDescent="0.25">
      <c r="A25" s="427"/>
      <c r="B25" s="431" t="s">
        <v>255</v>
      </c>
      <c r="C25" s="432"/>
      <c r="D25" s="433"/>
    </row>
    <row r="26" spans="1:4" ht="15.75" customHeight="1" x14ac:dyDescent="0.25">
      <c r="A26" s="427"/>
      <c r="B26" s="431" t="s">
        <v>256</v>
      </c>
      <c r="C26" s="432"/>
      <c r="D26" s="433"/>
    </row>
    <row r="27" spans="1:4" ht="15.75" customHeight="1" x14ac:dyDescent="0.25">
      <c r="A27" s="427"/>
      <c r="B27" s="431" t="s">
        <v>257</v>
      </c>
      <c r="C27" s="432"/>
      <c r="D27" s="433"/>
    </row>
    <row r="28" spans="1:4" ht="15.75" customHeight="1" x14ac:dyDescent="0.25">
      <c r="A28" s="427"/>
      <c r="B28" s="431" t="s">
        <v>258</v>
      </c>
      <c r="C28" s="432"/>
      <c r="D28" s="433"/>
    </row>
    <row r="29" spans="1:4" ht="15.75" customHeight="1" x14ac:dyDescent="0.25">
      <c r="A29" s="427"/>
      <c r="B29" s="431" t="s">
        <v>259</v>
      </c>
      <c r="C29" s="432"/>
      <c r="D29" s="433"/>
    </row>
    <row r="30" spans="1:4" ht="15.75" customHeight="1" x14ac:dyDescent="0.25">
      <c r="A30" s="427"/>
      <c r="B30" s="431" t="s">
        <v>260</v>
      </c>
      <c r="C30" s="432"/>
      <c r="D30" s="433"/>
    </row>
    <row r="31" spans="1:4" ht="15.75" customHeight="1" x14ac:dyDescent="0.25">
      <c r="A31" s="427"/>
      <c r="B31" s="431" t="s">
        <v>261</v>
      </c>
      <c r="C31" s="432"/>
      <c r="D31" s="433"/>
    </row>
    <row r="32" spans="1:4" ht="15.75" customHeight="1" x14ac:dyDescent="0.25">
      <c r="A32" s="427"/>
      <c r="B32" s="431" t="s">
        <v>262</v>
      </c>
      <c r="C32" s="432"/>
      <c r="D32" s="433"/>
    </row>
    <row r="33" spans="1:4" ht="15.75" customHeight="1" x14ac:dyDescent="0.25">
      <c r="A33" s="427"/>
      <c r="B33" s="431" t="s">
        <v>263</v>
      </c>
      <c r="C33" s="432"/>
      <c r="D33" s="433"/>
    </row>
    <row r="34" spans="1:4" ht="15.75" customHeight="1" x14ac:dyDescent="0.25">
      <c r="A34" s="427"/>
      <c r="B34" s="431" t="s">
        <v>264</v>
      </c>
      <c r="C34" s="432"/>
      <c r="D34" s="433"/>
    </row>
    <row r="35" spans="1:4" ht="15.75" customHeight="1" x14ac:dyDescent="0.25">
      <c r="A35" s="427"/>
      <c r="B35" s="431" t="s">
        <v>265</v>
      </c>
      <c r="C35" s="432"/>
      <c r="D35" s="433"/>
    </row>
    <row r="36" spans="1:4" ht="15.75" customHeight="1" x14ac:dyDescent="0.25">
      <c r="A36" s="427"/>
      <c r="B36" s="431" t="s">
        <v>266</v>
      </c>
      <c r="C36" s="432"/>
      <c r="D36" s="433"/>
    </row>
    <row r="37" spans="1:4" ht="15.75" customHeight="1" x14ac:dyDescent="0.25">
      <c r="A37" s="427"/>
      <c r="B37" s="431" t="s">
        <v>267</v>
      </c>
      <c r="C37" s="432"/>
      <c r="D37" s="433"/>
    </row>
    <row r="38" spans="1:4" ht="15.75" customHeight="1" x14ac:dyDescent="0.25">
      <c r="A38" s="427"/>
      <c r="B38" s="431" t="s">
        <v>268</v>
      </c>
      <c r="C38" s="432"/>
      <c r="D38" s="433"/>
    </row>
    <row r="39" spans="1:4" ht="15.75" customHeight="1" thickBot="1" x14ac:dyDescent="0.3">
      <c r="A39" s="434"/>
      <c r="B39" s="435" t="s">
        <v>269</v>
      </c>
      <c r="C39" s="436"/>
      <c r="D39" s="437"/>
    </row>
    <row r="40" spans="1:4" ht="15.75" customHeight="1" thickBot="1" x14ac:dyDescent="0.3">
      <c r="A40" s="1285" t="s">
        <v>94</v>
      </c>
      <c r="B40" s="1286"/>
      <c r="C40" s="443"/>
      <c r="D40" s="441">
        <f>+D7+D8+D9+D10+D11+D16+D20+D24+D25+D26+D27+D28+D29+D30+D31+D32+D33+D34+D35+D36+D37+D38+D39</f>
        <v>127833965</v>
      </c>
    </row>
    <row r="41" spans="1:4" x14ac:dyDescent="0.25">
      <c r="A41" s="444" t="s">
        <v>95</v>
      </c>
    </row>
    <row r="42" spans="1:4" x14ac:dyDescent="0.25">
      <c r="A42" s="445"/>
      <c r="B42" s="446"/>
      <c r="C42" s="1287"/>
      <c r="D42" s="1287"/>
    </row>
    <row r="43" spans="1:4" x14ac:dyDescent="0.25">
      <c r="A43" s="445"/>
      <c r="B43" s="446"/>
      <c r="C43" s="447"/>
      <c r="D43" s="447"/>
    </row>
    <row r="44" spans="1:4" x14ac:dyDescent="0.25">
      <c r="A44" s="446"/>
      <c r="B44" s="446"/>
      <c r="C44" s="1287"/>
      <c r="D44" s="1287"/>
    </row>
    <row r="45" spans="1:4" x14ac:dyDescent="0.25">
      <c r="A45" s="448"/>
      <c r="B45" s="448"/>
    </row>
    <row r="46" spans="1:4" x14ac:dyDescent="0.25">
      <c r="A46" s="448"/>
      <c r="B46" s="448"/>
      <c r="C46" s="448"/>
    </row>
  </sheetData>
  <mergeCells count="6">
    <mergeCell ref="A1:D1"/>
    <mergeCell ref="A40:B40"/>
    <mergeCell ref="C42:D42"/>
    <mergeCell ref="C44:D44"/>
    <mergeCell ref="A2:D2"/>
    <mergeCell ref="A3:D3"/>
  </mergeCells>
  <phoneticPr fontId="59" type="noConversion"/>
  <printOptions horizontalCentered="1"/>
  <pageMargins left="0.78740157480314965" right="0.78740157480314965" top="1.1479166666666667" bottom="0.98425196850393704" header="0.78740157480314965" footer="0.78740157480314965"/>
  <pageSetup paperSize="9" scale="93" orientation="portrait" r:id="rId1"/>
  <headerFooter alignWithMargins="0">
    <oddHeader>&amp;R&amp;"Times New Roman,Félkövér dőlt"5.3 számú tájékoztató tábla a ../.....(....)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theme="6"/>
  </sheetPr>
  <dimension ref="A1:F41"/>
  <sheetViews>
    <sheetView showRowColHeaders="0" view="pageLayout" zoomScaleNormal="100" workbookViewId="0">
      <selection activeCell="G6" sqref="G6"/>
    </sheetView>
  </sheetViews>
  <sheetFormatPr defaultColWidth="10.28515625" defaultRowHeight="15.75" x14ac:dyDescent="0.25"/>
  <cols>
    <col min="1" max="1" width="48.140625" style="420" customWidth="1"/>
    <col min="2" max="2" width="5.85546875" style="420" customWidth="1"/>
    <col min="3" max="3" width="14.7109375" style="420" customWidth="1"/>
    <col min="4" max="4" width="16.42578125" style="420" customWidth="1"/>
    <col min="5" max="16384" width="10.28515625" style="420"/>
  </cols>
  <sheetData>
    <row r="1" spans="1:6" ht="16.5" customHeight="1" x14ac:dyDescent="0.25">
      <c r="A1" s="1288" t="s">
        <v>118</v>
      </c>
      <c r="B1" s="1289"/>
      <c r="C1" s="1289"/>
      <c r="D1" s="1289"/>
    </row>
    <row r="2" spans="1:6" ht="16.5" customHeight="1" x14ac:dyDescent="0.25">
      <c r="A2" s="1288" t="s">
        <v>122</v>
      </c>
      <c r="B2" s="1288"/>
      <c r="C2" s="1288"/>
      <c r="D2" s="1288"/>
    </row>
    <row r="3" spans="1:6" ht="16.5" customHeight="1" x14ac:dyDescent="0.25">
      <c r="A3" s="1288" t="s">
        <v>158</v>
      </c>
      <c r="B3" s="1288"/>
      <c r="C3" s="1288"/>
      <c r="D3" s="1288"/>
    </row>
    <row r="4" spans="1:6" ht="16.5" customHeight="1" x14ac:dyDescent="0.25">
      <c r="A4" s="609"/>
      <c r="B4" s="610"/>
      <c r="C4" s="610"/>
      <c r="D4" s="610"/>
    </row>
    <row r="5" spans="1:6" ht="16.5" thickBot="1" x14ac:dyDescent="0.3">
      <c r="A5" s="531"/>
      <c r="C5" s="630" t="s">
        <v>230</v>
      </c>
    </row>
    <row r="6" spans="1:6" ht="64.5" thickBot="1" x14ac:dyDescent="0.3">
      <c r="A6" s="449" t="s">
        <v>220</v>
      </c>
      <c r="B6" s="376" t="s">
        <v>413</v>
      </c>
      <c r="C6" s="450" t="s">
        <v>96</v>
      </c>
      <c r="D6" s="451" t="s">
        <v>229</v>
      </c>
    </row>
    <row r="7" spans="1:6" ht="16.5" thickBot="1" x14ac:dyDescent="0.3">
      <c r="A7" s="452" t="s">
        <v>446</v>
      </c>
      <c r="B7" s="453" t="s">
        <v>447</v>
      </c>
      <c r="C7" s="453" t="s">
        <v>448</v>
      </c>
      <c r="D7" s="454" t="s">
        <v>449</v>
      </c>
    </row>
    <row r="8" spans="1:6" ht="15.75" customHeight="1" x14ac:dyDescent="0.25">
      <c r="A8" s="455" t="s">
        <v>97</v>
      </c>
      <c r="B8" s="428" t="s">
        <v>228</v>
      </c>
      <c r="C8" s="429"/>
      <c r="D8" s="430"/>
    </row>
    <row r="9" spans="1:6" ht="15.75" customHeight="1" x14ac:dyDescent="0.25">
      <c r="A9" s="455" t="s">
        <v>98</v>
      </c>
      <c r="B9" s="431" t="s">
        <v>234</v>
      </c>
      <c r="C9" s="432"/>
      <c r="D9" s="433"/>
      <c r="F9" s="533"/>
    </row>
    <row r="10" spans="1:6" ht="15.75" customHeight="1" thickBot="1" x14ac:dyDescent="0.3">
      <c r="A10" s="456" t="s">
        <v>99</v>
      </c>
      <c r="B10" s="435" t="s">
        <v>235</v>
      </c>
      <c r="C10" s="436"/>
      <c r="D10" s="437"/>
    </row>
    <row r="11" spans="1:6" ht="15.75" customHeight="1" thickBot="1" x14ac:dyDescent="0.3">
      <c r="A11" s="438" t="s">
        <v>100</v>
      </c>
      <c r="B11" s="439" t="s">
        <v>236</v>
      </c>
      <c r="C11" s="440"/>
      <c r="D11" s="441">
        <f>+D8+D9+D10</f>
        <v>0</v>
      </c>
    </row>
    <row r="12" spans="1:6" ht="15.75" customHeight="1" x14ac:dyDescent="0.25">
      <c r="A12" s="457" t="s">
        <v>101</v>
      </c>
      <c r="B12" s="428" t="s">
        <v>237</v>
      </c>
      <c r="C12" s="429"/>
      <c r="D12" s="430"/>
    </row>
    <row r="13" spans="1:6" ht="15.75" customHeight="1" x14ac:dyDescent="0.25">
      <c r="A13" s="455" t="s">
        <v>102</v>
      </c>
      <c r="B13" s="431" t="s">
        <v>240</v>
      </c>
      <c r="C13" s="432"/>
      <c r="D13" s="433"/>
    </row>
    <row r="14" spans="1:6" ht="15.75" customHeight="1" x14ac:dyDescent="0.25">
      <c r="A14" s="455" t="s">
        <v>103</v>
      </c>
      <c r="B14" s="431" t="s">
        <v>241</v>
      </c>
      <c r="C14" s="432"/>
      <c r="D14" s="433"/>
    </row>
    <row r="15" spans="1:6" ht="15.75" customHeight="1" x14ac:dyDescent="0.25">
      <c r="A15" s="455" t="s">
        <v>104</v>
      </c>
      <c r="B15" s="431" t="s">
        <v>242</v>
      </c>
      <c r="C15" s="432"/>
      <c r="D15" s="433"/>
    </row>
    <row r="16" spans="1:6" ht="15.75" customHeight="1" thickBot="1" x14ac:dyDescent="0.3">
      <c r="A16" s="456" t="s">
        <v>105</v>
      </c>
      <c r="B16" s="435" t="s">
        <v>243</v>
      </c>
      <c r="C16" s="436"/>
      <c r="D16" s="437"/>
    </row>
    <row r="17" spans="1:4" ht="15.75" customHeight="1" thickBot="1" x14ac:dyDescent="0.3">
      <c r="A17" s="438" t="s">
        <v>106</v>
      </c>
      <c r="B17" s="439" t="s">
        <v>244</v>
      </c>
      <c r="C17" s="458"/>
      <c r="D17" s="441">
        <f>+D12+D13+D14+D15+D16</f>
        <v>0</v>
      </c>
    </row>
    <row r="18" spans="1:4" ht="15.75" customHeight="1" x14ac:dyDescent="0.25">
      <c r="A18" s="457"/>
      <c r="B18" s="428" t="s">
        <v>245</v>
      </c>
      <c r="C18" s="429"/>
      <c r="D18" s="430"/>
    </row>
    <row r="19" spans="1:4" ht="15.75" customHeight="1" x14ac:dyDescent="0.25">
      <c r="A19" s="455"/>
      <c r="B19" s="431" t="s">
        <v>246</v>
      </c>
      <c r="C19" s="432"/>
      <c r="D19" s="433"/>
    </row>
    <row r="20" spans="1:4" ht="15.75" customHeight="1" x14ac:dyDescent="0.25">
      <c r="A20" s="455"/>
      <c r="B20" s="431" t="s">
        <v>247</v>
      </c>
      <c r="C20" s="432"/>
      <c r="D20" s="433"/>
    </row>
    <row r="21" spans="1:4" ht="15.75" customHeight="1" x14ac:dyDescent="0.25">
      <c r="A21" s="455"/>
      <c r="B21" s="431" t="s">
        <v>250</v>
      </c>
      <c r="C21" s="432"/>
      <c r="D21" s="433"/>
    </row>
    <row r="22" spans="1:4" ht="15.75" customHeight="1" x14ac:dyDescent="0.25">
      <c r="A22" s="455"/>
      <c r="B22" s="431" t="s">
        <v>251</v>
      </c>
      <c r="C22" s="432"/>
      <c r="D22" s="433"/>
    </row>
    <row r="23" spans="1:4" ht="15.75" customHeight="1" x14ac:dyDescent="0.25">
      <c r="A23" s="455"/>
      <c r="B23" s="431" t="s">
        <v>252</v>
      </c>
      <c r="C23" s="432"/>
      <c r="D23" s="433"/>
    </row>
    <row r="24" spans="1:4" ht="15.75" customHeight="1" x14ac:dyDescent="0.25">
      <c r="A24" s="455"/>
      <c r="B24" s="431" t="s">
        <v>253</v>
      </c>
      <c r="C24" s="432"/>
      <c r="D24" s="433"/>
    </row>
    <row r="25" spans="1:4" ht="15.75" customHeight="1" x14ac:dyDescent="0.25">
      <c r="A25" s="455"/>
      <c r="B25" s="431" t="s">
        <v>254</v>
      </c>
      <c r="C25" s="432"/>
      <c r="D25" s="433"/>
    </row>
    <row r="26" spans="1:4" ht="15.75" customHeight="1" x14ac:dyDescent="0.25">
      <c r="A26" s="455"/>
      <c r="B26" s="431" t="s">
        <v>255</v>
      </c>
      <c r="C26" s="432"/>
      <c r="D26" s="433"/>
    </row>
    <row r="27" spans="1:4" ht="15.75" customHeight="1" x14ac:dyDescent="0.25">
      <c r="A27" s="455"/>
      <c r="B27" s="431" t="s">
        <v>256</v>
      </c>
      <c r="C27" s="432"/>
      <c r="D27" s="433"/>
    </row>
    <row r="28" spans="1:4" ht="15.75" customHeight="1" x14ac:dyDescent="0.25">
      <c r="A28" s="455"/>
      <c r="B28" s="431" t="s">
        <v>257</v>
      </c>
      <c r="C28" s="432"/>
      <c r="D28" s="433"/>
    </row>
    <row r="29" spans="1:4" ht="15.75" customHeight="1" x14ac:dyDescent="0.25">
      <c r="A29" s="455"/>
      <c r="B29" s="431" t="s">
        <v>258</v>
      </c>
      <c r="C29" s="432"/>
      <c r="D29" s="433"/>
    </row>
    <row r="30" spans="1:4" ht="15.75" customHeight="1" x14ac:dyDescent="0.25">
      <c r="A30" s="455"/>
      <c r="B30" s="431" t="s">
        <v>259</v>
      </c>
      <c r="C30" s="432"/>
      <c r="D30" s="433"/>
    </row>
    <row r="31" spans="1:4" ht="15.75" customHeight="1" x14ac:dyDescent="0.25">
      <c r="A31" s="455"/>
      <c r="B31" s="431" t="s">
        <v>260</v>
      </c>
      <c r="C31" s="432"/>
      <c r="D31" s="433"/>
    </row>
    <row r="32" spans="1:4" ht="15.75" customHeight="1" x14ac:dyDescent="0.25">
      <c r="A32" s="455"/>
      <c r="B32" s="431" t="s">
        <v>261</v>
      </c>
      <c r="C32" s="432"/>
      <c r="D32" s="433"/>
    </row>
    <row r="33" spans="1:6" ht="15.75" customHeight="1" x14ac:dyDescent="0.25">
      <c r="A33" s="455"/>
      <c r="B33" s="431" t="s">
        <v>262</v>
      </c>
      <c r="C33" s="432"/>
      <c r="D33" s="433"/>
    </row>
    <row r="34" spans="1:6" ht="15.75" customHeight="1" x14ac:dyDescent="0.25">
      <c r="A34" s="455"/>
      <c r="B34" s="431" t="s">
        <v>263</v>
      </c>
      <c r="C34" s="432"/>
      <c r="D34" s="433"/>
    </row>
    <row r="35" spans="1:6" ht="15.75" customHeight="1" x14ac:dyDescent="0.25">
      <c r="A35" s="455"/>
      <c r="B35" s="431" t="s">
        <v>264</v>
      </c>
      <c r="C35" s="432"/>
      <c r="D35" s="433"/>
    </row>
    <row r="36" spans="1:6" ht="15.75" customHeight="1" x14ac:dyDescent="0.25">
      <c r="A36" s="455"/>
      <c r="B36" s="431" t="s">
        <v>265</v>
      </c>
      <c r="C36" s="432"/>
      <c r="D36" s="433"/>
    </row>
    <row r="37" spans="1:6" ht="15.75" customHeight="1" x14ac:dyDescent="0.25">
      <c r="A37" s="455"/>
      <c r="B37" s="431" t="s">
        <v>266</v>
      </c>
      <c r="C37" s="432"/>
      <c r="D37" s="433"/>
    </row>
    <row r="38" spans="1:6" ht="15.75" customHeight="1" x14ac:dyDescent="0.25">
      <c r="A38" s="455"/>
      <c r="B38" s="431" t="s">
        <v>267</v>
      </c>
      <c r="C38" s="432"/>
      <c r="D38" s="433"/>
    </row>
    <row r="39" spans="1:6" ht="15.75" customHeight="1" x14ac:dyDescent="0.25">
      <c r="A39" s="455"/>
      <c r="B39" s="431" t="s">
        <v>268</v>
      </c>
      <c r="C39" s="432"/>
      <c r="D39" s="433"/>
    </row>
    <row r="40" spans="1:6" ht="15.75" customHeight="1" thickBot="1" x14ac:dyDescent="0.3">
      <c r="A40" s="459"/>
      <c r="B40" s="460" t="s">
        <v>269</v>
      </c>
      <c r="C40" s="461"/>
      <c r="D40" s="462"/>
    </row>
    <row r="41" spans="1:6" ht="15.75" customHeight="1" thickBot="1" x14ac:dyDescent="0.3">
      <c r="A41" s="1290" t="s">
        <v>107</v>
      </c>
      <c r="B41" s="1291"/>
      <c r="C41" s="443"/>
      <c r="D41" s="441">
        <f>+D11+D17+SUM(D18:D40)</f>
        <v>0</v>
      </c>
      <c r="F41" s="463"/>
    </row>
  </sheetData>
  <mergeCells count="4">
    <mergeCell ref="A1:D1"/>
    <mergeCell ref="A41:B41"/>
    <mergeCell ref="A2:D2"/>
    <mergeCell ref="A3:D3"/>
  </mergeCells>
  <phoneticPr fontId="59" type="noConversion"/>
  <printOptions horizontalCentered="1"/>
  <pageMargins left="0.78740157480314965" right="0.78740157480314965" top="1.128125" bottom="0.98425196850393704" header="0.78740157480314965" footer="0.78740157480314965"/>
  <pageSetup paperSize="9" scale="95" orientation="portrait" r:id="rId1"/>
  <headerFooter alignWithMargins="0">
    <oddHeader>&amp;R&amp;"Times New Roman,Félkövér dőlt"5.4 számú tájékoztató tábla a ../.....(....)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theme="6"/>
  </sheetPr>
  <dimension ref="A1:F16"/>
  <sheetViews>
    <sheetView topLeftCell="B1" zoomScaleNormal="100" workbookViewId="0">
      <selection activeCell="F1" sqref="F1:F12"/>
    </sheetView>
  </sheetViews>
  <sheetFormatPr defaultColWidth="8" defaultRowHeight="12.75" x14ac:dyDescent="0.2"/>
  <cols>
    <col min="1" max="1" width="8" style="465" customWidth="1"/>
    <col min="2" max="2" width="50" style="465" customWidth="1"/>
    <col min="3" max="5" width="21.42578125" style="465" customWidth="1"/>
    <col min="6" max="6" width="4.7109375" style="465" customWidth="1"/>
    <col min="7" max="16384" width="8" style="465"/>
  </cols>
  <sheetData>
    <row r="1" spans="1:6" x14ac:dyDescent="0.2">
      <c r="A1" s="464"/>
      <c r="F1" s="1295" t="s">
        <v>838</v>
      </c>
    </row>
    <row r="2" spans="1:6" ht="33" customHeight="1" x14ac:dyDescent="0.2">
      <c r="A2" s="1292" t="s">
        <v>813</v>
      </c>
      <c r="B2" s="1292"/>
      <c r="C2" s="1292"/>
      <c r="D2" s="1292"/>
      <c r="E2" s="1292"/>
      <c r="F2" s="1295"/>
    </row>
    <row r="3" spans="1:6" ht="16.5" thickBot="1" x14ac:dyDescent="0.3">
      <c r="A3" s="466"/>
      <c r="F3" s="1295"/>
    </row>
    <row r="4" spans="1:6" ht="79.5" thickBot="1" x14ac:dyDescent="0.25">
      <c r="A4" s="467" t="s">
        <v>413</v>
      </c>
      <c r="B4" s="468" t="s">
        <v>414</v>
      </c>
      <c r="C4" s="468" t="s">
        <v>415</v>
      </c>
      <c r="D4" s="468" t="s">
        <v>416</v>
      </c>
      <c r="E4" s="469" t="s">
        <v>417</v>
      </c>
      <c r="F4" s="1295"/>
    </row>
    <row r="5" spans="1:6" ht="15.75" x14ac:dyDescent="0.2">
      <c r="A5" s="470" t="s">
        <v>228</v>
      </c>
      <c r="B5" s="517" t="s">
        <v>552</v>
      </c>
      <c r="C5" s="518">
        <v>100</v>
      </c>
      <c r="D5" s="519">
        <v>3000000</v>
      </c>
      <c r="E5" s="520">
        <v>31963000</v>
      </c>
      <c r="F5" s="1295"/>
    </row>
    <row r="6" spans="1:6" ht="15.75" x14ac:dyDescent="0.2">
      <c r="A6" s="471" t="s">
        <v>234</v>
      </c>
      <c r="B6" s="521" t="s">
        <v>20</v>
      </c>
      <c r="C6" s="522">
        <v>100</v>
      </c>
      <c r="D6" s="523">
        <v>19500000</v>
      </c>
      <c r="E6" s="524">
        <v>95784000</v>
      </c>
      <c r="F6" s="1295"/>
    </row>
    <row r="7" spans="1:6" ht="15.75" x14ac:dyDescent="0.2">
      <c r="A7" s="471" t="s">
        <v>235</v>
      </c>
      <c r="B7" s="521" t="s">
        <v>21</v>
      </c>
      <c r="C7" s="522">
        <v>11</v>
      </c>
      <c r="D7" s="523">
        <v>330000</v>
      </c>
      <c r="E7" s="524">
        <v>5822000</v>
      </c>
      <c r="F7" s="1295"/>
    </row>
    <row r="8" spans="1:6" ht="31.5" x14ac:dyDescent="0.2">
      <c r="A8" s="471" t="s">
        <v>236</v>
      </c>
      <c r="B8" s="521" t="s">
        <v>22</v>
      </c>
      <c r="C8" s="522">
        <v>13</v>
      </c>
      <c r="D8" s="523">
        <v>360000</v>
      </c>
      <c r="E8" s="524">
        <v>0</v>
      </c>
      <c r="F8" s="1295"/>
    </row>
    <row r="9" spans="1:6" ht="31.5" x14ac:dyDescent="0.2">
      <c r="A9" s="471" t="s">
        <v>237</v>
      </c>
      <c r="B9" s="517" t="s">
        <v>553</v>
      </c>
      <c r="C9" s="518">
        <v>100</v>
      </c>
      <c r="D9" s="519">
        <v>3000000</v>
      </c>
      <c r="E9" s="652">
        <v>0</v>
      </c>
      <c r="F9" s="1295"/>
    </row>
    <row r="10" spans="1:6" ht="15.75" x14ac:dyDescent="0.2">
      <c r="A10" s="471" t="s">
        <v>240</v>
      </c>
      <c r="B10" s="521" t="s">
        <v>554</v>
      </c>
      <c r="C10" s="525"/>
      <c r="D10" s="523">
        <v>2000000</v>
      </c>
      <c r="E10" s="524">
        <v>0</v>
      </c>
      <c r="F10" s="1295"/>
    </row>
    <row r="11" spans="1:6" ht="16.5" thickBot="1" x14ac:dyDescent="0.25">
      <c r="A11" s="471" t="s">
        <v>241</v>
      </c>
      <c r="B11" s="521" t="s">
        <v>555</v>
      </c>
      <c r="C11" s="525"/>
      <c r="D11" s="523">
        <v>29000</v>
      </c>
      <c r="E11" s="526"/>
      <c r="F11" s="1295"/>
    </row>
    <row r="12" spans="1:6" ht="16.5" thickBot="1" x14ac:dyDescent="0.3">
      <c r="A12" s="1293" t="s">
        <v>418</v>
      </c>
      <c r="B12" s="1294"/>
      <c r="C12" s="472"/>
      <c r="D12" s="616">
        <f>IF(SUM(D5:D11)=0,"",SUM(D5:D11))</f>
        <v>28219000</v>
      </c>
      <c r="E12" s="473">
        <f>IF(SUM(E5:E11)=0,"",SUM(E5:E11))</f>
        <v>133569000</v>
      </c>
      <c r="F12" s="1295"/>
    </row>
    <row r="13" spans="1:6" ht="15.75" x14ac:dyDescent="0.25">
      <c r="A13" s="466"/>
    </row>
    <row r="14" spans="1:6" x14ac:dyDescent="0.2">
      <c r="A14" s="528"/>
    </row>
    <row r="15" spans="1:6" x14ac:dyDescent="0.2">
      <c r="B15" s="528"/>
    </row>
    <row r="16" spans="1:6" ht="20.25" x14ac:dyDescent="0.3">
      <c r="C16" s="534"/>
    </row>
  </sheetData>
  <mergeCells count="3">
    <mergeCell ref="A2:E2"/>
    <mergeCell ref="A12:B12"/>
    <mergeCell ref="F1:F12"/>
  </mergeCells>
  <phoneticPr fontId="58" type="noConversion"/>
  <pageMargins left="0.7" right="0.7" top="0.75" bottom="0.75" header="0.3" footer="0.3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16"/>
  <sheetViews>
    <sheetView zoomScaleNormal="100" workbookViewId="0">
      <selection activeCell="H22" sqref="H22"/>
    </sheetView>
  </sheetViews>
  <sheetFormatPr defaultColWidth="8" defaultRowHeight="12.75" x14ac:dyDescent="0.2"/>
  <cols>
    <col min="1" max="1" width="6.5703125" style="174" customWidth="1"/>
    <col min="2" max="2" width="52.140625" style="174" customWidth="1"/>
    <col min="3" max="3" width="22" style="174" customWidth="1"/>
    <col min="4" max="4" width="12.28515625" style="174" hidden="1" customWidth="1"/>
    <col min="5" max="6" width="11.7109375" style="174" hidden="1" customWidth="1"/>
    <col min="7" max="7" width="8.85546875" style="174" bestFit="1" customWidth="1"/>
    <col min="8" max="8" width="11.85546875" style="174" bestFit="1" customWidth="1"/>
    <col min="9" max="16384" width="8" style="174"/>
  </cols>
  <sheetData>
    <row r="1" spans="1:8" ht="15" x14ac:dyDescent="0.25">
      <c r="C1" s="474" t="s">
        <v>839</v>
      </c>
    </row>
    <row r="2" spans="1:8" ht="14.25" x14ac:dyDescent="0.2">
      <c r="A2" s="475"/>
      <c r="B2" s="475"/>
      <c r="C2" s="475"/>
    </row>
    <row r="3" spans="1:8" ht="33.75" customHeight="1" x14ac:dyDescent="0.2">
      <c r="A3" s="1296" t="s">
        <v>108</v>
      </c>
      <c r="B3" s="1296"/>
      <c r="C3" s="1296"/>
    </row>
    <row r="4" spans="1:8" ht="13.5" thickBot="1" x14ac:dyDescent="0.25">
      <c r="B4" s="529"/>
      <c r="C4" s="476"/>
    </row>
    <row r="5" spans="1:8" s="480" customFormat="1" ht="43.5" customHeight="1" thickBot="1" x14ac:dyDescent="0.25">
      <c r="A5" s="477" t="s">
        <v>310</v>
      </c>
      <c r="B5" s="478" t="s">
        <v>220</v>
      </c>
      <c r="C5" s="479" t="s">
        <v>361</v>
      </c>
      <c r="D5" s="479" t="s">
        <v>231</v>
      </c>
      <c r="E5" s="479" t="s">
        <v>232</v>
      </c>
      <c r="F5" s="479" t="s">
        <v>233</v>
      </c>
    </row>
    <row r="6" spans="1:8" ht="28.5" customHeight="1" x14ac:dyDescent="0.2">
      <c r="A6" s="481" t="s">
        <v>228</v>
      </c>
      <c r="B6" s="594" t="s">
        <v>780</v>
      </c>
      <c r="C6" s="482">
        <f>SUM(C7:C8)</f>
        <v>601629721</v>
      </c>
      <c r="D6" s="482">
        <f>SUM(D7:D8)</f>
        <v>569119704</v>
      </c>
      <c r="E6" s="482">
        <f>SUM(E7:E8)</f>
        <v>3148853</v>
      </c>
      <c r="F6" s="955">
        <v>29361164</v>
      </c>
    </row>
    <row r="7" spans="1:8" ht="18" customHeight="1" x14ac:dyDescent="0.2">
      <c r="A7" s="483" t="s">
        <v>234</v>
      </c>
      <c r="B7" s="484" t="s">
        <v>111</v>
      </c>
      <c r="C7" s="485">
        <f>D7+E7+F7</f>
        <v>601141726</v>
      </c>
      <c r="D7" s="485">
        <v>568950474</v>
      </c>
      <c r="E7" s="485">
        <v>3098648</v>
      </c>
      <c r="F7" s="956">
        <v>29092604</v>
      </c>
    </row>
    <row r="8" spans="1:8" ht="18" customHeight="1" x14ac:dyDescent="0.2">
      <c r="A8" s="483" t="s">
        <v>235</v>
      </c>
      <c r="B8" s="484" t="s">
        <v>112</v>
      </c>
      <c r="C8" s="485">
        <f>D8+E8+F8</f>
        <v>487995</v>
      </c>
      <c r="D8" s="485">
        <v>169230</v>
      </c>
      <c r="E8" s="485">
        <v>50205</v>
      </c>
      <c r="F8" s="956">
        <v>268560</v>
      </c>
    </row>
    <row r="9" spans="1:8" ht="18" customHeight="1" x14ac:dyDescent="0.2">
      <c r="A9" s="483" t="s">
        <v>236</v>
      </c>
      <c r="B9" s="486" t="s">
        <v>109</v>
      </c>
      <c r="C9" s="485">
        <f>D9+E9+F9</f>
        <v>3661779308</v>
      </c>
      <c r="D9" s="485">
        <f>1854270725+699727647-594503758+31938984</f>
        <v>1991433598</v>
      </c>
      <c r="E9" s="485">
        <f>203850578-3212174+7000</f>
        <v>200645404</v>
      </c>
      <c r="F9" s="956">
        <v>1469700306</v>
      </c>
      <c r="H9" s="959"/>
    </row>
    <row r="10" spans="1:8" ht="18" customHeight="1" thickBot="1" x14ac:dyDescent="0.25">
      <c r="A10" s="483" t="s">
        <v>237</v>
      </c>
      <c r="B10" s="486" t="s">
        <v>110</v>
      </c>
      <c r="C10" s="485">
        <f>D10+E10+F10</f>
        <v>3890669207</v>
      </c>
      <c r="D10" s="485">
        <f>857484055+1347422495+2913508+5310202</f>
        <v>2213130260</v>
      </c>
      <c r="E10" s="485">
        <f>202928832+373650+35661</f>
        <v>203338143</v>
      </c>
      <c r="F10" s="956">
        <v>1474200804</v>
      </c>
    </row>
    <row r="11" spans="1:8" ht="25.5" customHeight="1" x14ac:dyDescent="0.2">
      <c r="A11" s="618" t="s">
        <v>241</v>
      </c>
      <c r="B11" s="595" t="s">
        <v>781</v>
      </c>
      <c r="C11" s="487">
        <f>C6+C9-C10</f>
        <v>372739822</v>
      </c>
      <c r="D11" s="487">
        <f>D6+D9-D10</f>
        <v>347423042</v>
      </c>
      <c r="E11" s="487">
        <f>E6+E9-E10</f>
        <v>456114</v>
      </c>
      <c r="F11" s="957">
        <v>24860666</v>
      </c>
      <c r="G11" s="617">
        <f>E11-88285-367829</f>
        <v>0</v>
      </c>
      <c r="H11" s="959"/>
    </row>
    <row r="12" spans="1:8" ht="18" customHeight="1" x14ac:dyDescent="0.2">
      <c r="A12" s="619" t="s">
        <v>242</v>
      </c>
      <c r="B12" s="484" t="s">
        <v>111</v>
      </c>
      <c r="C12" s="485">
        <f>D12+E12+F12</f>
        <v>372122742</v>
      </c>
      <c r="D12" s="485">
        <v>347327052</v>
      </c>
      <c r="E12" s="485">
        <v>367829</v>
      </c>
      <c r="F12" s="956">
        <v>24427861</v>
      </c>
    </row>
    <row r="13" spans="1:8" ht="18" customHeight="1" thickBot="1" x14ac:dyDescent="0.25">
      <c r="A13" s="620" t="s">
        <v>243</v>
      </c>
      <c r="B13" s="488" t="s">
        <v>112</v>
      </c>
      <c r="C13" s="489">
        <f>D13+E13+F13</f>
        <v>617080</v>
      </c>
      <c r="D13" s="489">
        <v>95990</v>
      </c>
      <c r="E13" s="489">
        <v>88285</v>
      </c>
      <c r="F13" s="958">
        <v>432805</v>
      </c>
    </row>
    <row r="14" spans="1:8" x14ac:dyDescent="0.2">
      <c r="E14" s="617"/>
    </row>
    <row r="15" spans="1:8" x14ac:dyDescent="0.2">
      <c r="D15" s="617"/>
      <c r="E15" s="617"/>
    </row>
    <row r="16" spans="1:8" x14ac:dyDescent="0.2">
      <c r="D16" s="617"/>
      <c r="E16" s="617"/>
    </row>
  </sheetData>
  <mergeCells count="1">
    <mergeCell ref="A3:C3"/>
  </mergeCells>
  <phoneticPr fontId="25" type="noConversion"/>
  <conditionalFormatting sqref="C11:E11">
    <cfRule type="cellIs" dxfId="1" priority="4" stopIfTrue="1" operator="notEqual">
      <formula>SUM(C12:C13)</formula>
    </cfRule>
  </conditionalFormatting>
  <conditionalFormatting sqref="F11">
    <cfRule type="cellIs" dxfId="0" priority="3" stopIfTrue="1" operator="notEqual">
      <formula>SUM(F12:F13)</formula>
    </cfRule>
  </conditionalFormatting>
  <printOptions horizontalCentered="1"/>
  <pageMargins left="0.78740157480314965" right="0.78740157480314965" top="0.98425196850393704" bottom="0.98425196850393704" header="0.78740157480314965" footer="0.78740157480314965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theme="6"/>
  </sheetPr>
  <dimension ref="A1:D13"/>
  <sheetViews>
    <sheetView view="pageLayout" zoomScaleNormal="120" workbookViewId="0">
      <selection activeCell="C11" sqref="C11"/>
    </sheetView>
  </sheetViews>
  <sheetFormatPr defaultColWidth="8" defaultRowHeight="15" x14ac:dyDescent="0.25"/>
  <cols>
    <col min="1" max="1" width="4.85546875" style="490" customWidth="1"/>
    <col min="2" max="2" width="58.85546875" style="490" customWidth="1"/>
    <col min="3" max="3" width="16.7109375" style="490" customWidth="1"/>
    <col min="4" max="16384" width="8" style="490"/>
  </cols>
  <sheetData>
    <row r="1" spans="1:4" ht="42.75" customHeight="1" x14ac:dyDescent="0.25">
      <c r="A1" s="1297" t="s">
        <v>814</v>
      </c>
      <c r="B1" s="1297"/>
      <c r="C1" s="1297"/>
    </row>
    <row r="2" spans="1:4" ht="15.95" customHeight="1" thickBot="1" x14ac:dyDescent="0.3">
      <c r="A2" s="491"/>
      <c r="B2" s="491"/>
      <c r="C2" s="492" t="s">
        <v>490</v>
      </c>
      <c r="D2" s="493"/>
    </row>
    <row r="3" spans="1:4" ht="26.25" customHeight="1" thickBot="1" x14ac:dyDescent="0.3">
      <c r="A3" s="494" t="s">
        <v>310</v>
      </c>
      <c r="B3" s="495" t="s">
        <v>113</v>
      </c>
      <c r="C3" s="496" t="s">
        <v>796</v>
      </c>
    </row>
    <row r="4" spans="1:4" ht="15.75" thickBot="1" x14ac:dyDescent="0.3">
      <c r="A4" s="497">
        <v>1</v>
      </c>
      <c r="B4" s="498">
        <v>2</v>
      </c>
      <c r="C4" s="499">
        <v>3</v>
      </c>
    </row>
    <row r="5" spans="1:4" x14ac:dyDescent="0.25">
      <c r="A5" s="500" t="s">
        <v>228</v>
      </c>
      <c r="B5" s="501" t="s">
        <v>314</v>
      </c>
      <c r="C5" s="502">
        <f>361268804+67510</f>
        <v>361336314</v>
      </c>
    </row>
    <row r="6" spans="1:4" ht="24.75" x14ac:dyDescent="0.25">
      <c r="A6" s="503" t="s">
        <v>234</v>
      </c>
      <c r="B6" s="504" t="s">
        <v>777</v>
      </c>
      <c r="C6" s="505">
        <v>671293</v>
      </c>
    </row>
    <row r="7" spans="1:4" ht="25.5" thickBot="1" x14ac:dyDescent="0.3">
      <c r="A7" s="503" t="s">
        <v>235</v>
      </c>
      <c r="B7" s="504" t="s">
        <v>778</v>
      </c>
      <c r="C7" s="661">
        <v>58865722</v>
      </c>
    </row>
    <row r="8" spans="1:4" x14ac:dyDescent="0.25">
      <c r="A8" s="500" t="s">
        <v>236</v>
      </c>
      <c r="B8" s="506" t="s">
        <v>114</v>
      </c>
      <c r="C8" s="505"/>
    </row>
    <row r="9" spans="1:4" ht="24.75" x14ac:dyDescent="0.25">
      <c r="A9" s="503" t="s">
        <v>237</v>
      </c>
      <c r="B9" s="506" t="s">
        <v>115</v>
      </c>
      <c r="C9" s="505">
        <f>9581550+18854</f>
        <v>9600404</v>
      </c>
    </row>
    <row r="10" spans="1:4" x14ac:dyDescent="0.25">
      <c r="A10" s="503" t="s">
        <v>240</v>
      </c>
      <c r="B10" s="506" t="s">
        <v>116</v>
      </c>
      <c r="C10" s="507">
        <f>10000+50984+496987+2428134</f>
        <v>2986105</v>
      </c>
    </row>
    <row r="11" spans="1:4" ht="15.75" thickBot="1" x14ac:dyDescent="0.3">
      <c r="A11" s="503" t="s">
        <v>241</v>
      </c>
      <c r="B11" s="508" t="s">
        <v>117</v>
      </c>
      <c r="C11" s="505"/>
    </row>
    <row r="12" spans="1:4" ht="15.75" thickBot="1" x14ac:dyDescent="0.3">
      <c r="A12" s="1298" t="s">
        <v>125</v>
      </c>
      <c r="B12" s="1299"/>
      <c r="C12" s="509">
        <f>SUM(C5:C11)</f>
        <v>433459838</v>
      </c>
    </row>
    <row r="13" spans="1:4" ht="23.25" customHeight="1" x14ac:dyDescent="0.25">
      <c r="A13" s="1300" t="s">
        <v>126</v>
      </c>
      <c r="B13" s="1300"/>
      <c r="C13" s="1300"/>
    </row>
  </sheetData>
  <mergeCells count="3">
    <mergeCell ref="A1:C1"/>
    <mergeCell ref="A12:B12"/>
    <mergeCell ref="A13:C13"/>
  </mergeCells>
  <phoneticPr fontId="25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8. számú tájékoztató tábla a ../.....(....)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theme="6"/>
  </sheetPr>
  <dimension ref="A1:H158"/>
  <sheetViews>
    <sheetView tabSelected="1" topLeftCell="A60" zoomScale="120" zoomScaleNormal="120" zoomScaleSheetLayoutView="100" workbookViewId="0">
      <selection activeCell="C60" sqref="C60"/>
    </sheetView>
  </sheetViews>
  <sheetFormatPr defaultColWidth="8" defaultRowHeight="15.75" x14ac:dyDescent="0.25"/>
  <cols>
    <col min="1" max="1" width="7.7109375" style="93" customWidth="1"/>
    <col min="2" max="2" width="55.5703125" style="93" customWidth="1"/>
    <col min="3" max="3" width="14.85546875" style="93" customWidth="1"/>
    <col min="4" max="5" width="14.85546875" style="91" customWidth="1"/>
    <col min="6" max="16384" width="8" style="25"/>
  </cols>
  <sheetData>
    <row r="1" spans="1:5" ht="15.95" customHeight="1" x14ac:dyDescent="0.25">
      <c r="A1" s="1149" t="s">
        <v>308</v>
      </c>
      <c r="B1" s="1149"/>
      <c r="C1" s="1149"/>
      <c r="D1" s="1149"/>
      <c r="E1" s="1149"/>
    </row>
    <row r="2" spans="1:5" ht="15.95" customHeight="1" thickBot="1" x14ac:dyDescent="0.3">
      <c r="A2" s="26" t="s">
        <v>309</v>
      </c>
      <c r="B2" s="26"/>
      <c r="C2" s="26"/>
      <c r="D2" s="535"/>
      <c r="E2" s="535" t="s">
        <v>488</v>
      </c>
    </row>
    <row r="3" spans="1:5" ht="15.95" customHeight="1" x14ac:dyDescent="0.25">
      <c r="A3" s="1150" t="s">
        <v>394</v>
      </c>
      <c r="B3" s="1152" t="s">
        <v>311</v>
      </c>
      <c r="C3" s="1301" t="s">
        <v>815</v>
      </c>
      <c r="D3" s="1154" t="s">
        <v>793</v>
      </c>
      <c r="E3" s="1155"/>
    </row>
    <row r="4" spans="1:5" ht="38.1" customHeight="1" thickBot="1" x14ac:dyDescent="0.3">
      <c r="A4" s="1151"/>
      <c r="B4" s="1153"/>
      <c r="C4" s="1302"/>
      <c r="D4" s="28" t="s">
        <v>445</v>
      </c>
      <c r="E4" s="29" t="s">
        <v>221</v>
      </c>
    </row>
    <row r="5" spans="1:5" s="31" customFormat="1" ht="12" customHeight="1" thickBot="1" x14ac:dyDescent="0.25">
      <c r="A5" s="1" t="s">
        <v>446</v>
      </c>
      <c r="B5" s="2" t="s">
        <v>447</v>
      </c>
      <c r="C5" s="2" t="s">
        <v>448</v>
      </c>
      <c r="D5" s="2" t="s">
        <v>450</v>
      </c>
      <c r="E5" s="69" t="s">
        <v>635</v>
      </c>
    </row>
    <row r="6" spans="1:5" s="34" customFormat="1" ht="12" customHeight="1" thickBot="1" x14ac:dyDescent="0.25">
      <c r="A6" s="4" t="s">
        <v>228</v>
      </c>
      <c r="B6" s="536" t="s">
        <v>451</v>
      </c>
      <c r="C6" s="32">
        <f>+C7+C8+C9+C10+C11+C12</f>
        <v>1136384587</v>
      </c>
      <c r="D6" s="32">
        <f>'1.sz.mell.'!D6</f>
        <v>1170233686</v>
      </c>
      <c r="E6" s="999">
        <f>'1.sz.mell.'!E6</f>
        <v>1170233686</v>
      </c>
    </row>
    <row r="7" spans="1:5" s="34" customFormat="1" ht="12" customHeight="1" x14ac:dyDescent="0.2">
      <c r="A7" s="10" t="s">
        <v>330</v>
      </c>
      <c r="B7" s="537" t="s">
        <v>453</v>
      </c>
      <c r="C7" s="963">
        <v>228418282</v>
      </c>
      <c r="D7" s="36">
        <f>'1.sz.mell.'!D7</f>
        <v>228389971</v>
      </c>
      <c r="E7" s="37">
        <f>'1.sz.mell.'!E7</f>
        <v>228389971</v>
      </c>
    </row>
    <row r="8" spans="1:5" s="34" customFormat="1" ht="12" customHeight="1" x14ac:dyDescent="0.2">
      <c r="A8" s="8" t="s">
        <v>332</v>
      </c>
      <c r="B8" s="538" t="s">
        <v>454</v>
      </c>
      <c r="C8" s="964">
        <v>224090111</v>
      </c>
      <c r="D8" s="39">
        <f>'1.sz.mell.'!D8</f>
        <v>227307468</v>
      </c>
      <c r="E8" s="40">
        <f>'1.sz.mell.'!E8</f>
        <v>227307468</v>
      </c>
    </row>
    <row r="9" spans="1:5" s="34" customFormat="1" ht="12" customHeight="1" x14ac:dyDescent="0.2">
      <c r="A9" s="8" t="s">
        <v>333</v>
      </c>
      <c r="B9" s="538" t="s">
        <v>455</v>
      </c>
      <c r="C9" s="964">
        <v>600182523</v>
      </c>
      <c r="D9" s="39">
        <f>'1.sz.mell.'!D9</f>
        <v>660574907</v>
      </c>
      <c r="E9" s="40">
        <f>'1.sz.mell.'!E9</f>
        <v>660574907</v>
      </c>
    </row>
    <row r="10" spans="1:5" s="34" customFormat="1" ht="12" customHeight="1" x14ac:dyDescent="0.2">
      <c r="A10" s="8" t="s">
        <v>335</v>
      </c>
      <c r="B10" s="538" t="s">
        <v>456</v>
      </c>
      <c r="C10" s="964">
        <v>31318596</v>
      </c>
      <c r="D10" s="39">
        <f>'1.sz.mell.'!D10</f>
        <v>34596226</v>
      </c>
      <c r="E10" s="40">
        <f>'1.sz.mell.'!E10</f>
        <v>34596226</v>
      </c>
    </row>
    <row r="11" spans="1:5" s="34" customFormat="1" ht="12" customHeight="1" x14ac:dyDescent="0.2">
      <c r="A11" s="8" t="s">
        <v>457</v>
      </c>
      <c r="B11" s="538" t="s">
        <v>492</v>
      </c>
      <c r="C11" s="964"/>
      <c r="D11" s="39">
        <f>'1.sz.mell.'!D11</f>
        <v>0</v>
      </c>
      <c r="E11" s="40">
        <f>'1.sz.mell.'!E11</f>
        <v>0</v>
      </c>
    </row>
    <row r="12" spans="1:5" s="34" customFormat="1" ht="12" customHeight="1" thickBot="1" x14ac:dyDescent="0.25">
      <c r="A12" s="12" t="s">
        <v>337</v>
      </c>
      <c r="B12" s="539" t="s">
        <v>459</v>
      </c>
      <c r="C12" s="964">
        <v>52375075</v>
      </c>
      <c r="D12" s="42">
        <f>'1.sz.mell.'!D12</f>
        <v>19365114</v>
      </c>
      <c r="E12" s="43">
        <f>'1.sz.mell.'!E12</f>
        <v>19365114</v>
      </c>
    </row>
    <row r="13" spans="1:5" s="34" customFormat="1" ht="12" customHeight="1" thickBot="1" x14ac:dyDescent="0.25">
      <c r="A13" s="4" t="s">
        <v>234</v>
      </c>
      <c r="B13" s="540" t="s">
        <v>460</v>
      </c>
      <c r="C13" s="32">
        <f>+C14+C15+C16+C17+C18</f>
        <v>329344570</v>
      </c>
      <c r="D13" s="32">
        <f>'1.sz.mell.'!D13</f>
        <v>279095571</v>
      </c>
      <c r="E13" s="33">
        <f>'1.sz.mell.'!E13</f>
        <v>215496398</v>
      </c>
    </row>
    <row r="14" spans="1:5" s="34" customFormat="1" ht="12" customHeight="1" x14ac:dyDescent="0.2">
      <c r="A14" s="10" t="s">
        <v>344</v>
      </c>
      <c r="B14" s="537" t="s">
        <v>461</v>
      </c>
      <c r="C14" s="965"/>
      <c r="D14" s="36">
        <f>'1.sz.mell.'!D14</f>
        <v>0</v>
      </c>
      <c r="E14" s="37">
        <f>'1.sz.mell.'!E14</f>
        <v>0</v>
      </c>
    </row>
    <row r="15" spans="1:5" s="34" customFormat="1" ht="12" customHeight="1" x14ac:dyDescent="0.2">
      <c r="A15" s="8" t="s">
        <v>345</v>
      </c>
      <c r="B15" s="538" t="s">
        <v>462</v>
      </c>
      <c r="C15" s="966"/>
      <c r="D15" s="39">
        <f>'1.sz.mell.'!D15</f>
        <v>0</v>
      </c>
      <c r="E15" s="40">
        <f>'1.sz.mell.'!E15</f>
        <v>0</v>
      </c>
    </row>
    <row r="16" spans="1:5" s="34" customFormat="1" ht="12" customHeight="1" x14ac:dyDescent="0.2">
      <c r="A16" s="8" t="s">
        <v>346</v>
      </c>
      <c r="B16" s="538" t="s">
        <v>463</v>
      </c>
      <c r="C16" s="966"/>
      <c r="D16" s="39">
        <f>'1.sz.mell.'!D16</f>
        <v>0</v>
      </c>
      <c r="E16" s="40">
        <f>'1.sz.mell.'!E16</f>
        <v>0</v>
      </c>
    </row>
    <row r="17" spans="1:5" s="34" customFormat="1" ht="12" customHeight="1" x14ac:dyDescent="0.2">
      <c r="A17" s="8" t="s">
        <v>347</v>
      </c>
      <c r="B17" s="538" t="s">
        <v>464</v>
      </c>
      <c r="C17" s="966"/>
      <c r="D17" s="39">
        <f>'1.sz.mell.'!D17</f>
        <v>0</v>
      </c>
      <c r="E17" s="40">
        <f>'1.sz.mell.'!E17</f>
        <v>0</v>
      </c>
    </row>
    <row r="18" spans="1:5" s="34" customFormat="1" ht="12" customHeight="1" x14ac:dyDescent="0.2">
      <c r="A18" s="8" t="s">
        <v>348</v>
      </c>
      <c r="B18" s="538" t="s">
        <v>465</v>
      </c>
      <c r="C18" s="986">
        <v>329344570</v>
      </c>
      <c r="D18" s="39">
        <f>'1.sz.mell.'!D18</f>
        <v>279095571</v>
      </c>
      <c r="E18" s="40">
        <f>'1.sz.mell.'!E18</f>
        <v>215496398</v>
      </c>
    </row>
    <row r="19" spans="1:5" s="34" customFormat="1" ht="12" customHeight="1" thickBot="1" x14ac:dyDescent="0.25">
      <c r="A19" s="12" t="s">
        <v>349</v>
      </c>
      <c r="B19" s="539" t="s">
        <v>466</v>
      </c>
      <c r="C19" s="987">
        <v>23612212</v>
      </c>
      <c r="D19" s="42">
        <f>'1.sz.mell.'!D19</f>
        <v>85930791</v>
      </c>
      <c r="E19" s="43">
        <f>'1.sz.mell.'!E19</f>
        <v>27120913</v>
      </c>
    </row>
    <row r="20" spans="1:5" s="34" customFormat="1" ht="12" customHeight="1" thickBot="1" x14ac:dyDescent="0.25">
      <c r="A20" s="4" t="s">
        <v>235</v>
      </c>
      <c r="B20" s="536" t="s">
        <v>467</v>
      </c>
      <c r="C20" s="32">
        <f>+C21+C22+C23+C24+C25</f>
        <v>519310318</v>
      </c>
      <c r="D20" s="32">
        <f>'1.sz.mell.'!D20</f>
        <v>82911198</v>
      </c>
      <c r="E20" s="33">
        <f>'1.sz.mell.'!E20</f>
        <v>27196638</v>
      </c>
    </row>
    <row r="21" spans="1:5" s="34" customFormat="1" ht="12" customHeight="1" x14ac:dyDescent="0.2">
      <c r="A21" s="10" t="s">
        <v>312</v>
      </c>
      <c r="B21" s="537" t="s">
        <v>468</v>
      </c>
      <c r="C21" s="981">
        <v>15690532</v>
      </c>
      <c r="D21" s="36">
        <f>'1.sz.mell.'!D21</f>
        <v>19753000</v>
      </c>
      <c r="E21" s="37">
        <f>'1.sz.mell.'!E21</f>
        <v>19753000</v>
      </c>
    </row>
    <row r="22" spans="1:5" s="34" customFormat="1" ht="12" customHeight="1" x14ac:dyDescent="0.2">
      <c r="A22" s="8" t="s">
        <v>313</v>
      </c>
      <c r="B22" s="538" t="s">
        <v>469</v>
      </c>
      <c r="C22" s="982"/>
      <c r="D22" s="39">
        <f>'1.sz.mell.'!D22</f>
        <v>0</v>
      </c>
      <c r="E22" s="40">
        <f>'1.sz.mell.'!E22</f>
        <v>0</v>
      </c>
    </row>
    <row r="23" spans="1:5" s="34" customFormat="1" ht="12" customHeight="1" x14ac:dyDescent="0.2">
      <c r="A23" s="8" t="s">
        <v>315</v>
      </c>
      <c r="B23" s="538" t="s">
        <v>470</v>
      </c>
      <c r="C23" s="982"/>
      <c r="D23" s="39">
        <f>'1.sz.mell.'!D23</f>
        <v>0</v>
      </c>
      <c r="E23" s="40">
        <f>'1.sz.mell.'!E23</f>
        <v>0</v>
      </c>
    </row>
    <row r="24" spans="1:5" s="34" customFormat="1" ht="12" customHeight="1" x14ac:dyDescent="0.2">
      <c r="A24" s="8" t="s">
        <v>316</v>
      </c>
      <c r="B24" s="538" t="s">
        <v>471</v>
      </c>
      <c r="C24" s="982"/>
      <c r="D24" s="39">
        <f>'1.sz.mell.'!D24</f>
        <v>0</v>
      </c>
      <c r="E24" s="40">
        <f>'1.sz.mell.'!E24</f>
        <v>0</v>
      </c>
    </row>
    <row r="25" spans="1:5" s="34" customFormat="1" ht="12" customHeight="1" x14ac:dyDescent="0.2">
      <c r="A25" s="8" t="s">
        <v>425</v>
      </c>
      <c r="B25" s="538" t="s">
        <v>472</v>
      </c>
      <c r="C25" s="982">
        <v>503619786</v>
      </c>
      <c r="D25" s="39">
        <f>'1.sz.mell.'!D25</f>
        <v>63158198</v>
      </c>
      <c r="E25" s="40">
        <f>'1.sz.mell.'!E25</f>
        <v>7443638</v>
      </c>
    </row>
    <row r="26" spans="1:5" s="34" customFormat="1" ht="12" customHeight="1" thickBot="1" x14ac:dyDescent="0.25">
      <c r="A26" s="12" t="s">
        <v>426</v>
      </c>
      <c r="B26" s="539" t="s">
        <v>473</v>
      </c>
      <c r="C26" s="983">
        <v>500338786</v>
      </c>
      <c r="D26" s="42">
        <f>'1.sz.mell.'!D26</f>
        <v>58668454</v>
      </c>
      <c r="E26" s="43">
        <f>'1.sz.mell.'!E26</f>
        <v>3104638</v>
      </c>
    </row>
    <row r="27" spans="1:5" s="34" customFormat="1" ht="12" customHeight="1" thickBot="1" x14ac:dyDescent="0.25">
      <c r="A27" s="216" t="s">
        <v>427</v>
      </c>
      <c r="B27" s="961" t="s">
        <v>190</v>
      </c>
      <c r="C27" s="960">
        <f>C28+C33+C34+C31+C32</f>
        <v>359172384</v>
      </c>
      <c r="D27" s="917">
        <f>'1.sz.mell.'!D27</f>
        <v>402108000</v>
      </c>
      <c r="E27" s="662">
        <f>'1.sz.mell.'!E27</f>
        <v>401728642</v>
      </c>
    </row>
    <row r="28" spans="1:5" s="34" customFormat="1" ht="12" customHeight="1" x14ac:dyDescent="0.2">
      <c r="A28" s="13" t="s">
        <v>317</v>
      </c>
      <c r="B28" s="664" t="s">
        <v>186</v>
      </c>
      <c r="C28" s="969">
        <v>324804247</v>
      </c>
      <c r="D28" s="665">
        <f>'1.sz.mell.'!D28</f>
        <v>361554000</v>
      </c>
      <c r="E28" s="666">
        <f>'1.sz.mell.'!E28</f>
        <v>361268804</v>
      </c>
    </row>
    <row r="29" spans="1:5" s="34" customFormat="1" ht="12" customHeight="1" x14ac:dyDescent="0.2">
      <c r="A29" s="8" t="s">
        <v>475</v>
      </c>
      <c r="B29" s="38" t="s">
        <v>476</v>
      </c>
      <c r="C29" s="967">
        <v>71369224</v>
      </c>
      <c r="D29" s="39">
        <f>'1.sz.mell.'!D29</f>
        <v>76900000</v>
      </c>
      <c r="E29" s="40">
        <f>'1.sz.mell.'!E29</f>
        <v>76659666</v>
      </c>
    </row>
    <row r="30" spans="1:5" s="34" customFormat="1" ht="12" customHeight="1" x14ac:dyDescent="0.2">
      <c r="A30" s="8" t="s">
        <v>477</v>
      </c>
      <c r="B30" s="38" t="s">
        <v>188</v>
      </c>
      <c r="C30" s="967">
        <v>253435023</v>
      </c>
      <c r="D30" s="39">
        <f>'1.sz.mell.'!D30</f>
        <v>284654000</v>
      </c>
      <c r="E30" s="40">
        <f>'1.sz.mell.'!E30</f>
        <v>284609138</v>
      </c>
    </row>
    <row r="31" spans="1:5" s="34" customFormat="1" ht="12" customHeight="1" x14ac:dyDescent="0.2">
      <c r="A31" s="8" t="s">
        <v>758</v>
      </c>
      <c r="B31" s="38" t="s">
        <v>189</v>
      </c>
      <c r="C31" s="967">
        <v>119318</v>
      </c>
      <c r="D31" s="39">
        <f>'1.sz.mell.'!D31</f>
        <v>0</v>
      </c>
      <c r="E31" s="40">
        <f>'1.sz.mell.'!E31</f>
        <v>67510</v>
      </c>
    </row>
    <row r="32" spans="1:5" s="34" customFormat="1" ht="12" customHeight="1" x14ac:dyDescent="0.2">
      <c r="A32" s="8" t="s">
        <v>759</v>
      </c>
      <c r="B32" s="38" t="s">
        <v>480</v>
      </c>
      <c r="C32" s="967">
        <v>26806717</v>
      </c>
      <c r="D32" s="39">
        <f>'1.sz.mell.'!D32</f>
        <v>30050000</v>
      </c>
      <c r="E32" s="40">
        <f>'1.sz.mell.'!E32</f>
        <v>30048092</v>
      </c>
    </row>
    <row r="33" spans="1:5" s="34" customFormat="1" ht="12" customHeight="1" x14ac:dyDescent="0.2">
      <c r="A33" s="8" t="s">
        <v>760</v>
      </c>
      <c r="B33" s="38" t="s">
        <v>482</v>
      </c>
      <c r="C33" s="967">
        <v>12050</v>
      </c>
      <c r="D33" s="39">
        <f>'1.sz.mell.'!D33</f>
        <v>4000</v>
      </c>
      <c r="E33" s="40">
        <f>'1.sz.mell.'!E33</f>
        <v>0</v>
      </c>
    </row>
    <row r="34" spans="1:5" s="34" customFormat="1" ht="12" customHeight="1" thickBot="1" x14ac:dyDescent="0.25">
      <c r="A34" s="15" t="s">
        <v>761</v>
      </c>
      <c r="B34" s="667" t="s">
        <v>483</v>
      </c>
      <c r="C34" s="968">
        <v>7430052</v>
      </c>
      <c r="D34" s="76">
        <f>'1.sz.mell.'!D34</f>
        <v>10500000</v>
      </c>
      <c r="E34" s="225">
        <f>'1.sz.mell.'!E34</f>
        <v>10344236</v>
      </c>
    </row>
    <row r="35" spans="1:5" s="34" customFormat="1" ht="12" customHeight="1" thickBot="1" x14ac:dyDescent="0.25">
      <c r="A35" s="4" t="s">
        <v>237</v>
      </c>
      <c r="B35" s="536" t="s">
        <v>484</v>
      </c>
      <c r="C35" s="32">
        <f>SUM(C36:C46)</f>
        <v>420500148</v>
      </c>
      <c r="D35" s="32">
        <f>'1.sz.mell.'!D35</f>
        <v>405741309</v>
      </c>
      <c r="E35" s="33">
        <f>'1.sz.mell.'!E35</f>
        <v>393429144</v>
      </c>
    </row>
    <row r="36" spans="1:5" s="34" customFormat="1" ht="12" customHeight="1" x14ac:dyDescent="0.2">
      <c r="A36" s="10" t="s">
        <v>319</v>
      </c>
      <c r="B36" s="537" t="s">
        <v>485</v>
      </c>
      <c r="C36" s="970">
        <v>14756313</v>
      </c>
      <c r="D36" s="36">
        <f>'1.sz.mell.'!D36</f>
        <v>13289065</v>
      </c>
      <c r="E36" s="37">
        <f>'1.sz.mell.'!E36</f>
        <v>13719843</v>
      </c>
    </row>
    <row r="37" spans="1:5" s="34" customFormat="1" ht="12" customHeight="1" x14ac:dyDescent="0.2">
      <c r="A37" s="8" t="s">
        <v>320</v>
      </c>
      <c r="B37" s="538" t="s">
        <v>496</v>
      </c>
      <c r="C37" s="971">
        <v>97064914</v>
      </c>
      <c r="D37" s="39">
        <f>'1.sz.mell.'!D37</f>
        <v>77743172</v>
      </c>
      <c r="E37" s="40">
        <f>'1.sz.mell.'!E37</f>
        <v>75708415</v>
      </c>
    </row>
    <row r="38" spans="1:5" s="34" customFormat="1" ht="12" customHeight="1" x14ac:dyDescent="0.2">
      <c r="A38" s="8" t="s">
        <v>321</v>
      </c>
      <c r="B38" s="538" t="s">
        <v>497</v>
      </c>
      <c r="C38" s="971">
        <v>72323829</v>
      </c>
      <c r="D38" s="39">
        <f>'1.sz.mell.'!D38</f>
        <v>75324504</v>
      </c>
      <c r="E38" s="40">
        <f>'1.sz.mell.'!E38</f>
        <v>70681986</v>
      </c>
    </row>
    <row r="39" spans="1:5" s="34" customFormat="1" ht="12" customHeight="1" x14ac:dyDescent="0.2">
      <c r="A39" s="8" t="s">
        <v>428</v>
      </c>
      <c r="B39" s="538" t="s">
        <v>498</v>
      </c>
      <c r="C39" s="971">
        <v>875976</v>
      </c>
      <c r="D39" s="39">
        <f>'1.sz.mell.'!D39</f>
        <v>430000</v>
      </c>
      <c r="E39" s="40">
        <f>'1.sz.mell.'!E39</f>
        <v>671293</v>
      </c>
    </row>
    <row r="40" spans="1:5" s="34" customFormat="1" ht="12" customHeight="1" x14ac:dyDescent="0.2">
      <c r="A40" s="8" t="s">
        <v>429</v>
      </c>
      <c r="B40" s="538" t="s">
        <v>499</v>
      </c>
      <c r="C40" s="971">
        <v>170046831</v>
      </c>
      <c r="D40" s="39">
        <f>'1.sz.mell.'!D40</f>
        <v>172385653</v>
      </c>
      <c r="E40" s="40">
        <f>'1.sz.mell.'!E40</f>
        <v>168360806</v>
      </c>
    </row>
    <row r="41" spans="1:5" s="34" customFormat="1" ht="12" customHeight="1" x14ac:dyDescent="0.2">
      <c r="A41" s="8" t="s">
        <v>430</v>
      </c>
      <c r="B41" s="538" t="s">
        <v>500</v>
      </c>
      <c r="C41" s="971">
        <v>42697431</v>
      </c>
      <c r="D41" s="39">
        <f>'1.sz.mell.'!D41</f>
        <v>37704455</v>
      </c>
      <c r="E41" s="40">
        <f>'1.sz.mell.'!E41</f>
        <v>34776685</v>
      </c>
    </row>
    <row r="42" spans="1:5" s="34" customFormat="1" ht="12" customHeight="1" x14ac:dyDescent="0.2">
      <c r="A42" s="8" t="s">
        <v>431</v>
      </c>
      <c r="B42" s="538" t="s">
        <v>501</v>
      </c>
      <c r="C42" s="971">
        <v>17615000</v>
      </c>
      <c r="D42" s="39">
        <f>'1.sz.mell.'!D42</f>
        <v>18210000</v>
      </c>
      <c r="E42" s="40">
        <f>'1.sz.mell.'!E42</f>
        <v>17251000</v>
      </c>
    </row>
    <row r="43" spans="1:5" s="34" customFormat="1" ht="12" customHeight="1" x14ac:dyDescent="0.2">
      <c r="A43" s="8" t="s">
        <v>432</v>
      </c>
      <c r="B43" s="538" t="s">
        <v>502</v>
      </c>
      <c r="C43" s="971">
        <v>147121</v>
      </c>
      <c r="D43" s="39">
        <f>'1.sz.mell.'!D43</f>
        <v>31000</v>
      </c>
      <c r="E43" s="40">
        <f>'1.sz.mell.'!E43</f>
        <v>603</v>
      </c>
    </row>
    <row r="44" spans="1:5" s="34" customFormat="1" ht="12" customHeight="1" x14ac:dyDescent="0.2">
      <c r="A44" s="8" t="s">
        <v>503</v>
      </c>
      <c r="B44" s="538" t="s">
        <v>504</v>
      </c>
      <c r="C44" s="972">
        <v>22033</v>
      </c>
      <c r="D44" s="49">
        <f>'1.sz.mell.'!D44</f>
        <v>0</v>
      </c>
      <c r="E44" s="50">
        <f>'1.sz.mell.'!E44</f>
        <v>0</v>
      </c>
    </row>
    <row r="45" spans="1:5" s="34" customFormat="1" ht="12" customHeight="1" x14ac:dyDescent="0.2">
      <c r="A45" s="12" t="s">
        <v>505</v>
      </c>
      <c r="B45" s="539" t="s">
        <v>285</v>
      </c>
      <c r="C45" s="973">
        <v>722335</v>
      </c>
      <c r="D45" s="51">
        <f>'1.sz.mell.'!D45</f>
        <v>200000</v>
      </c>
      <c r="E45" s="52">
        <f>'1.sz.mell.'!E45</f>
        <v>194740</v>
      </c>
    </row>
    <row r="46" spans="1:5" s="34" customFormat="1" ht="12" customHeight="1" thickBot="1" x14ac:dyDescent="0.25">
      <c r="A46" s="12" t="s">
        <v>284</v>
      </c>
      <c r="B46" s="539" t="s">
        <v>506</v>
      </c>
      <c r="C46" s="973">
        <v>4228365</v>
      </c>
      <c r="D46" s="51">
        <f>'1.sz.mell.'!D46</f>
        <v>10423460</v>
      </c>
      <c r="E46" s="52">
        <f>'1.sz.mell.'!E46</f>
        <v>12063773</v>
      </c>
    </row>
    <row r="47" spans="1:5" s="34" customFormat="1" ht="12" customHeight="1" thickBot="1" x14ac:dyDescent="0.25">
      <c r="A47" s="4" t="s">
        <v>240</v>
      </c>
      <c r="B47" s="536" t="s">
        <v>507</v>
      </c>
      <c r="C47" s="32">
        <f>SUM(C48:C52)</f>
        <v>31376724</v>
      </c>
      <c r="D47" s="32">
        <f>'1.sz.mell.'!D47</f>
        <v>30332500</v>
      </c>
      <c r="E47" s="33">
        <f>'1.sz.mell.'!E47</f>
        <v>9600404</v>
      </c>
    </row>
    <row r="48" spans="1:5" s="34" customFormat="1" ht="12" customHeight="1" x14ac:dyDescent="0.2">
      <c r="A48" s="10" t="s">
        <v>322</v>
      </c>
      <c r="B48" s="537" t="s">
        <v>508</v>
      </c>
      <c r="C48" s="53"/>
      <c r="D48" s="53">
        <f>'1.sz.mell.'!D48</f>
        <v>0</v>
      </c>
      <c r="E48" s="54">
        <f>'1.sz.mell.'!E48</f>
        <v>0</v>
      </c>
    </row>
    <row r="49" spans="1:5" s="34" customFormat="1" ht="12" customHeight="1" x14ac:dyDescent="0.2">
      <c r="A49" s="8" t="s">
        <v>323</v>
      </c>
      <c r="B49" s="538" t="s">
        <v>199</v>
      </c>
      <c r="C49" s="974">
        <v>31018499</v>
      </c>
      <c r="D49" s="49">
        <f>'1.sz.mell.'!D49</f>
        <v>30332500</v>
      </c>
      <c r="E49" s="50">
        <f>'1.sz.mell.'!E49</f>
        <v>9581550</v>
      </c>
    </row>
    <row r="50" spans="1:5" s="34" customFormat="1" ht="12" customHeight="1" x14ac:dyDescent="0.2">
      <c r="A50" s="8" t="s">
        <v>509</v>
      </c>
      <c r="B50" s="538" t="s">
        <v>510</v>
      </c>
      <c r="C50" s="974">
        <v>253700</v>
      </c>
      <c r="D50" s="49">
        <f>'1.sz.mell.'!D50</f>
        <v>0</v>
      </c>
      <c r="E50" s="50">
        <f>'1.sz.mell.'!E50</f>
        <v>18854</v>
      </c>
    </row>
    <row r="51" spans="1:5" s="34" customFormat="1" ht="12" customHeight="1" x14ac:dyDescent="0.2">
      <c r="A51" s="8" t="s">
        <v>511</v>
      </c>
      <c r="B51" s="538" t="s">
        <v>512</v>
      </c>
      <c r="C51" s="974">
        <v>100000</v>
      </c>
      <c r="D51" s="49">
        <f>'1.sz.mell.'!D51</f>
        <v>0</v>
      </c>
      <c r="E51" s="50">
        <f>'1.sz.mell.'!E51</f>
        <v>0</v>
      </c>
    </row>
    <row r="52" spans="1:5" s="34" customFormat="1" ht="12" customHeight="1" thickBot="1" x14ac:dyDescent="0.25">
      <c r="A52" s="12" t="s">
        <v>513</v>
      </c>
      <c r="B52" s="539" t="s">
        <v>514</v>
      </c>
      <c r="C52" s="975">
        <v>4525</v>
      </c>
      <c r="D52" s="51">
        <f>'1.sz.mell.'!D52</f>
        <v>0</v>
      </c>
      <c r="E52" s="52">
        <f>'1.sz.mell.'!E52</f>
        <v>0</v>
      </c>
    </row>
    <row r="53" spans="1:5" s="34" customFormat="1" ht="13.5" thickBot="1" x14ac:dyDescent="0.25">
      <c r="A53" s="4" t="s">
        <v>433</v>
      </c>
      <c r="B53" s="536" t="s">
        <v>515</v>
      </c>
      <c r="C53" s="32">
        <f>SUM(C54:C56)</f>
        <v>21824515</v>
      </c>
      <c r="D53" s="32">
        <f>'1.sz.mell.'!D53</f>
        <v>4224000</v>
      </c>
      <c r="E53" s="33">
        <f>'1.sz.mell.'!E53</f>
        <v>4421313</v>
      </c>
    </row>
    <row r="54" spans="1:5" s="34" customFormat="1" ht="12.75" x14ac:dyDescent="0.2">
      <c r="A54" s="10" t="s">
        <v>324</v>
      </c>
      <c r="B54" s="537" t="s">
        <v>516</v>
      </c>
      <c r="C54" s="36"/>
      <c r="D54" s="36">
        <f>'1.sz.mell.'!D54</f>
        <v>0</v>
      </c>
      <c r="E54" s="37">
        <f>'1.sz.mell.'!E54</f>
        <v>0</v>
      </c>
    </row>
    <row r="55" spans="1:5" s="34" customFormat="1" ht="14.25" customHeight="1" x14ac:dyDescent="0.2">
      <c r="A55" s="8" t="s">
        <v>325</v>
      </c>
      <c r="B55" s="538" t="s">
        <v>155</v>
      </c>
      <c r="C55" s="976">
        <v>18383349</v>
      </c>
      <c r="D55" s="39">
        <f>'1.sz.mell.'!D55</f>
        <v>1866000</v>
      </c>
      <c r="E55" s="40">
        <f>'1.sz.mell.'!E55</f>
        <v>2079965</v>
      </c>
    </row>
    <row r="56" spans="1:5" s="34" customFormat="1" ht="12.75" x14ac:dyDescent="0.2">
      <c r="A56" s="8" t="s">
        <v>434</v>
      </c>
      <c r="B56" s="538" t="s">
        <v>518</v>
      </c>
      <c r="C56" s="976">
        <v>3441166</v>
      </c>
      <c r="D56" s="39">
        <f>'1.sz.mell.'!D56</f>
        <v>2358000</v>
      </c>
      <c r="E56" s="40">
        <f>'1.sz.mell.'!E56</f>
        <v>2341348</v>
      </c>
    </row>
    <row r="57" spans="1:5" s="34" customFormat="1" ht="13.5" thickBot="1" x14ac:dyDescent="0.25">
      <c r="A57" s="12" t="s">
        <v>519</v>
      </c>
      <c r="B57" s="539" t="s">
        <v>520</v>
      </c>
      <c r="C57" s="42"/>
      <c r="D57" s="42">
        <f>'1.sz.mell.'!D57</f>
        <v>0</v>
      </c>
      <c r="E57" s="43">
        <f>'1.sz.mell.'!E57</f>
        <v>0</v>
      </c>
    </row>
    <row r="58" spans="1:5" s="34" customFormat="1" ht="13.5" thickBot="1" x14ac:dyDescent="0.25">
      <c r="A58" s="4" t="s">
        <v>242</v>
      </c>
      <c r="B58" s="540" t="s">
        <v>521</v>
      </c>
      <c r="C58" s="32">
        <f>SUM(C59:C61)</f>
        <v>1000000</v>
      </c>
      <c r="D58" s="32">
        <f>'1.sz.mell.'!D58</f>
        <v>0</v>
      </c>
      <c r="E58" s="33">
        <f>'1.sz.mell.'!E58</f>
        <v>20000</v>
      </c>
    </row>
    <row r="59" spans="1:5" s="34" customFormat="1" ht="12.75" x14ac:dyDescent="0.2">
      <c r="A59" s="8" t="s">
        <v>435</v>
      </c>
      <c r="B59" s="537" t="s">
        <v>522</v>
      </c>
      <c r="C59" s="49"/>
      <c r="D59" s="49">
        <f>'1.sz.mell.'!D59</f>
        <v>0</v>
      </c>
      <c r="E59" s="50">
        <f>'1.sz.mell.'!E59</f>
        <v>0</v>
      </c>
    </row>
    <row r="60" spans="1:5" s="34" customFormat="1" ht="12.75" customHeight="1" x14ac:dyDescent="0.2">
      <c r="A60" s="8" t="s">
        <v>436</v>
      </c>
      <c r="B60" s="538" t="s">
        <v>156</v>
      </c>
      <c r="C60" s="49"/>
      <c r="D60" s="49">
        <f>'1.sz.mell.'!D60</f>
        <v>0</v>
      </c>
      <c r="E60" s="50">
        <f>'1.sz.mell.'!E60</f>
        <v>0</v>
      </c>
    </row>
    <row r="61" spans="1:5" s="34" customFormat="1" ht="12.75" x14ac:dyDescent="0.2">
      <c r="A61" s="8" t="s">
        <v>524</v>
      </c>
      <c r="B61" s="538" t="s">
        <v>525</v>
      </c>
      <c r="C61" s="977">
        <v>1000000</v>
      </c>
      <c r="D61" s="49">
        <f>'1.sz.mell.'!D61</f>
        <v>0</v>
      </c>
      <c r="E61" s="50">
        <f>'1.sz.mell.'!E61</f>
        <v>20000</v>
      </c>
    </row>
    <row r="62" spans="1:5" s="34" customFormat="1" ht="13.5" thickBot="1" x14ac:dyDescent="0.25">
      <c r="A62" s="8" t="s">
        <v>526</v>
      </c>
      <c r="B62" s="539" t="s">
        <v>527</v>
      </c>
      <c r="C62" s="49"/>
      <c r="D62" s="49">
        <f>'1.sz.mell.'!D62</f>
        <v>0</v>
      </c>
      <c r="E62" s="50">
        <f>'1.sz.mell.'!E62</f>
        <v>0</v>
      </c>
    </row>
    <row r="63" spans="1:5" s="34" customFormat="1" ht="13.5" thickBot="1" x14ac:dyDescent="0.25">
      <c r="A63" s="4" t="s">
        <v>243</v>
      </c>
      <c r="B63" s="536" t="s">
        <v>528</v>
      </c>
      <c r="C63" s="46">
        <f>+C6+C13+C20+C27+C35+C47+C53+C58</f>
        <v>2818913246</v>
      </c>
      <c r="D63" s="46">
        <f>'1.sz.mell.'!D63</f>
        <v>2374646264</v>
      </c>
      <c r="E63" s="47">
        <f>'1.sz.mell.'!E63</f>
        <v>2222126225</v>
      </c>
    </row>
    <row r="64" spans="1:5" s="34" customFormat="1" ht="13.5" thickBot="1" x14ac:dyDescent="0.25">
      <c r="A64" s="541" t="s">
        <v>529</v>
      </c>
      <c r="B64" s="540" t="s">
        <v>157</v>
      </c>
      <c r="C64" s="32">
        <f>SUM(C65:C67)</f>
        <v>23966616</v>
      </c>
      <c r="D64" s="32">
        <f>'1.sz.mell.'!D64</f>
        <v>212343590</v>
      </c>
      <c r="E64" s="33">
        <f>'1.sz.mell.'!E64</f>
        <v>63319557</v>
      </c>
    </row>
    <row r="65" spans="1:5" s="34" customFormat="1" ht="12.75" x14ac:dyDescent="0.2">
      <c r="A65" s="8" t="s">
        <v>531</v>
      </c>
      <c r="B65" s="537" t="s">
        <v>532</v>
      </c>
      <c r="C65" s="978">
        <v>23966616</v>
      </c>
      <c r="D65" s="49">
        <f>'1.sz.mell.'!D65</f>
        <v>112343590</v>
      </c>
      <c r="E65" s="50">
        <f>'1.sz.mell.'!E65</f>
        <v>63319557</v>
      </c>
    </row>
    <row r="66" spans="1:5" s="34" customFormat="1" ht="12.75" x14ac:dyDescent="0.2">
      <c r="A66" s="8" t="s">
        <v>533</v>
      </c>
      <c r="B66" s="538" t="s">
        <v>534</v>
      </c>
      <c r="C66" s="49"/>
      <c r="D66" s="49">
        <f>'1.sz.mell.'!D66</f>
        <v>100000000</v>
      </c>
      <c r="E66" s="50">
        <f>'1.sz.mell.'!E66</f>
        <v>0</v>
      </c>
    </row>
    <row r="67" spans="1:5" s="34" customFormat="1" ht="13.5" thickBot="1" x14ac:dyDescent="0.25">
      <c r="A67" s="8" t="s">
        <v>535</v>
      </c>
      <c r="B67" s="542" t="s">
        <v>536</v>
      </c>
      <c r="C67" s="49"/>
      <c r="D67" s="49">
        <f>'1.sz.mell.'!D67</f>
        <v>0</v>
      </c>
      <c r="E67" s="50">
        <f>'1.sz.mell.'!E67</f>
        <v>0</v>
      </c>
    </row>
    <row r="68" spans="1:5" s="34" customFormat="1" ht="13.5" thickBot="1" x14ac:dyDescent="0.25">
      <c r="A68" s="541" t="s">
        <v>537</v>
      </c>
      <c r="B68" s="540" t="s">
        <v>538</v>
      </c>
      <c r="C68" s="32">
        <f>SUM(C69:C72)</f>
        <v>0</v>
      </c>
      <c r="D68" s="32">
        <f>'1.sz.mell.'!D68</f>
        <v>0</v>
      </c>
      <c r="E68" s="33">
        <f>'1.sz.mell.'!E68</f>
        <v>0</v>
      </c>
    </row>
    <row r="69" spans="1:5" s="34" customFormat="1" ht="12.75" x14ac:dyDescent="0.2">
      <c r="A69" s="8" t="s">
        <v>326</v>
      </c>
      <c r="B69" s="537" t="s">
        <v>539</v>
      </c>
      <c r="C69" s="49"/>
      <c r="D69" s="49">
        <f>'1.sz.mell.'!D69</f>
        <v>0</v>
      </c>
      <c r="E69" s="50">
        <f>'1.sz.mell.'!E69</f>
        <v>0</v>
      </c>
    </row>
    <row r="70" spans="1:5" s="34" customFormat="1" ht="12.75" x14ac:dyDescent="0.2">
      <c r="A70" s="8" t="s">
        <v>327</v>
      </c>
      <c r="B70" s="538" t="s">
        <v>540</v>
      </c>
      <c r="C70" s="49"/>
      <c r="D70" s="49">
        <f>'1.sz.mell.'!D70</f>
        <v>0</v>
      </c>
      <c r="E70" s="50">
        <f>'1.sz.mell.'!E70</f>
        <v>0</v>
      </c>
    </row>
    <row r="71" spans="1:5" s="34" customFormat="1" ht="12" customHeight="1" x14ac:dyDescent="0.2">
      <c r="A71" s="8" t="s">
        <v>541</v>
      </c>
      <c r="B71" s="538" t="s">
        <v>542</v>
      </c>
      <c r="C71" s="49"/>
      <c r="D71" s="49">
        <f>'1.sz.mell.'!D71</f>
        <v>0</v>
      </c>
      <c r="E71" s="50">
        <f>'1.sz.mell.'!E71</f>
        <v>0</v>
      </c>
    </row>
    <row r="72" spans="1:5" s="34" customFormat="1" ht="12" customHeight="1" thickBot="1" x14ac:dyDescent="0.25">
      <c r="A72" s="8" t="s">
        <v>543</v>
      </c>
      <c r="B72" s="539" t="s">
        <v>544</v>
      </c>
      <c r="C72" s="49"/>
      <c r="D72" s="49">
        <f>'1.sz.mell.'!D72</f>
        <v>0</v>
      </c>
      <c r="E72" s="50">
        <f>'1.sz.mell.'!E72</f>
        <v>0</v>
      </c>
    </row>
    <row r="73" spans="1:5" s="34" customFormat="1" ht="12" customHeight="1" thickBot="1" x14ac:dyDescent="0.25">
      <c r="A73" s="541" t="s">
        <v>545</v>
      </c>
      <c r="B73" s="540" t="s">
        <v>546</v>
      </c>
      <c r="C73" s="32">
        <f>SUM(C74:C75)</f>
        <v>292999415</v>
      </c>
      <c r="D73" s="32">
        <f>'1.sz.mell.'!D73</f>
        <v>620677200</v>
      </c>
      <c r="E73" s="33">
        <f>'1.sz.mell.'!E73</f>
        <v>620677200</v>
      </c>
    </row>
    <row r="74" spans="1:5" s="34" customFormat="1" ht="12" customHeight="1" x14ac:dyDescent="0.2">
      <c r="A74" s="8" t="s">
        <v>547</v>
      </c>
      <c r="B74" s="537" t="s">
        <v>548</v>
      </c>
      <c r="C74" s="979">
        <v>292999415</v>
      </c>
      <c r="D74" s="49">
        <f>'1.sz.mell.'!D74</f>
        <v>620677200</v>
      </c>
      <c r="E74" s="50">
        <f>'1.sz.mell.'!E74</f>
        <v>620677200</v>
      </c>
    </row>
    <row r="75" spans="1:5" s="34" customFormat="1" ht="12" customHeight="1" thickBot="1" x14ac:dyDescent="0.25">
      <c r="A75" s="8" t="s">
        <v>549</v>
      </c>
      <c r="B75" s="539" t="s">
        <v>556</v>
      </c>
      <c r="C75" s="49"/>
      <c r="D75" s="49">
        <f>'1.sz.mell.'!D75</f>
        <v>0</v>
      </c>
      <c r="E75" s="50">
        <f>'1.sz.mell.'!E75</f>
        <v>0</v>
      </c>
    </row>
    <row r="76" spans="1:5" s="34" customFormat="1" ht="12" customHeight="1" thickBot="1" x14ac:dyDescent="0.25">
      <c r="A76" s="541" t="s">
        <v>557</v>
      </c>
      <c r="B76" s="540" t="s">
        <v>558</v>
      </c>
      <c r="C76" s="32">
        <f>SUM(C77:C79)</f>
        <v>38167591</v>
      </c>
      <c r="D76" s="32">
        <f>'1.sz.mell.'!D76</f>
        <v>41904332</v>
      </c>
      <c r="E76" s="33">
        <f>'1.sz.mell.'!E76</f>
        <v>41904332</v>
      </c>
    </row>
    <row r="77" spans="1:5" s="34" customFormat="1" ht="12" customHeight="1" x14ac:dyDescent="0.2">
      <c r="A77" s="8" t="s">
        <v>559</v>
      </c>
      <c r="B77" s="537" t="s">
        <v>560</v>
      </c>
      <c r="C77" s="980">
        <v>38167591</v>
      </c>
      <c r="D77" s="49">
        <f>'1.sz.mell.'!D77</f>
        <v>41904332</v>
      </c>
      <c r="E77" s="50">
        <f>'1.sz.mell.'!E77</f>
        <v>41904332</v>
      </c>
    </row>
    <row r="78" spans="1:5" s="34" customFormat="1" ht="12" customHeight="1" x14ac:dyDescent="0.2">
      <c r="A78" s="8" t="s">
        <v>561</v>
      </c>
      <c r="B78" s="538" t="s">
        <v>562</v>
      </c>
      <c r="C78" s="49"/>
      <c r="D78" s="49">
        <f>'1.sz.mell.'!D78</f>
        <v>0</v>
      </c>
      <c r="E78" s="50">
        <f>'1.sz.mell.'!E78</f>
        <v>0</v>
      </c>
    </row>
    <row r="79" spans="1:5" s="34" customFormat="1" ht="12" customHeight="1" thickBot="1" x14ac:dyDescent="0.25">
      <c r="A79" s="8" t="s">
        <v>563</v>
      </c>
      <c r="B79" s="539" t="s">
        <v>564</v>
      </c>
      <c r="C79" s="49"/>
      <c r="D79" s="49">
        <f>'1.sz.mell.'!D79</f>
        <v>0</v>
      </c>
      <c r="E79" s="50">
        <f>'1.sz.mell.'!E79</f>
        <v>0</v>
      </c>
    </row>
    <row r="80" spans="1:5" s="34" customFormat="1" ht="12" customHeight="1" thickBot="1" x14ac:dyDescent="0.25">
      <c r="A80" s="541" t="s">
        <v>565</v>
      </c>
      <c r="B80" s="540" t="s">
        <v>566</v>
      </c>
      <c r="C80" s="32">
        <f>SUM(C81:C84)</f>
        <v>0</v>
      </c>
      <c r="D80" s="32">
        <f>'1.sz.mell.'!D80</f>
        <v>0</v>
      </c>
      <c r="E80" s="33">
        <f>'1.sz.mell.'!E80</f>
        <v>0</v>
      </c>
    </row>
    <row r="81" spans="1:5" s="34" customFormat="1" ht="12" customHeight="1" x14ac:dyDescent="0.2">
      <c r="A81" s="543" t="s">
        <v>567</v>
      </c>
      <c r="B81" s="537" t="s">
        <v>568</v>
      </c>
      <c r="C81" s="49"/>
      <c r="D81" s="49">
        <f>'1.sz.mell.'!D81</f>
        <v>0</v>
      </c>
      <c r="E81" s="50">
        <f>'1.sz.mell.'!E81</f>
        <v>0</v>
      </c>
    </row>
    <row r="82" spans="1:5" s="34" customFormat="1" ht="12" customHeight="1" x14ac:dyDescent="0.2">
      <c r="A82" s="544" t="s">
        <v>569</v>
      </c>
      <c r="B82" s="538" t="s">
        <v>573</v>
      </c>
      <c r="C82" s="49"/>
      <c r="D82" s="49">
        <f>'1.sz.mell.'!D82</f>
        <v>0</v>
      </c>
      <c r="E82" s="50">
        <f>'1.sz.mell.'!E82</f>
        <v>0</v>
      </c>
    </row>
    <row r="83" spans="1:5" s="34" customFormat="1" ht="12" customHeight="1" x14ac:dyDescent="0.2">
      <c r="A83" s="544" t="s">
        <v>574</v>
      </c>
      <c r="B83" s="538" t="s">
        <v>575</v>
      </c>
      <c r="C83" s="49"/>
      <c r="D83" s="49">
        <f>'1.sz.mell.'!D83</f>
        <v>0</v>
      </c>
      <c r="E83" s="50">
        <f>'1.sz.mell.'!E83</f>
        <v>0</v>
      </c>
    </row>
    <row r="84" spans="1:5" s="34" customFormat="1" ht="12" customHeight="1" thickBot="1" x14ac:dyDescent="0.25">
      <c r="A84" s="545" t="s">
        <v>576</v>
      </c>
      <c r="B84" s="539" t="s">
        <v>577</v>
      </c>
      <c r="C84" s="49"/>
      <c r="D84" s="49">
        <f>'1.sz.mell.'!D84</f>
        <v>0</v>
      </c>
      <c r="E84" s="50">
        <f>'1.sz.mell.'!E84</f>
        <v>0</v>
      </c>
    </row>
    <row r="85" spans="1:5" s="34" customFormat="1" ht="12" customHeight="1" thickBot="1" x14ac:dyDescent="0.25">
      <c r="A85" s="541" t="s">
        <v>578</v>
      </c>
      <c r="B85" s="540" t="s">
        <v>579</v>
      </c>
      <c r="C85" s="60"/>
      <c r="D85" s="60">
        <f>'1.sz.mell.'!D85</f>
        <v>0</v>
      </c>
      <c r="E85" s="61">
        <f>'1.sz.mell.'!E85</f>
        <v>0</v>
      </c>
    </row>
    <row r="86" spans="1:5" s="34" customFormat="1" ht="13.5" customHeight="1" thickBot="1" x14ac:dyDescent="0.25">
      <c r="A86" s="541" t="s">
        <v>580</v>
      </c>
      <c r="B86" s="546" t="s">
        <v>581</v>
      </c>
      <c r="C86" s="46">
        <f>+C64+C68+C73+C76+C80+C85</f>
        <v>355133622</v>
      </c>
      <c r="D86" s="46">
        <f>'1.sz.mell.'!D86</f>
        <v>874925122</v>
      </c>
      <c r="E86" s="47">
        <f>'1.sz.mell.'!E86</f>
        <v>725901089</v>
      </c>
    </row>
    <row r="87" spans="1:5" s="34" customFormat="1" ht="12" customHeight="1" thickBot="1" x14ac:dyDescent="0.25">
      <c r="A87" s="547" t="s">
        <v>582</v>
      </c>
      <c r="B87" s="548" t="s">
        <v>583</v>
      </c>
      <c r="C87" s="46">
        <f>+C63+C86</f>
        <v>3174046868</v>
      </c>
      <c r="D87" s="46">
        <f>'1.sz.mell.'!D87</f>
        <v>3249571386</v>
      </c>
      <c r="E87" s="47">
        <f>'1.sz.mell.'!E87</f>
        <v>2948027314</v>
      </c>
    </row>
    <row r="88" spans="1:5" ht="16.5" customHeight="1" x14ac:dyDescent="0.25">
      <c r="A88" s="1149" t="s">
        <v>328</v>
      </c>
      <c r="B88" s="1149"/>
      <c r="C88" s="1149"/>
      <c r="D88" s="1149"/>
      <c r="E88" s="1149"/>
    </row>
    <row r="89" spans="1:5" s="68" customFormat="1" ht="16.5" customHeight="1" thickBot="1" x14ac:dyDescent="0.3">
      <c r="A89" s="66" t="s">
        <v>329</v>
      </c>
      <c r="B89" s="66"/>
      <c r="C89" s="66"/>
      <c r="D89" s="549"/>
      <c r="E89" s="549" t="s">
        <v>443</v>
      </c>
    </row>
    <row r="90" spans="1:5" s="68" customFormat="1" ht="16.5" customHeight="1" x14ac:dyDescent="0.25">
      <c r="A90" s="1150" t="s">
        <v>394</v>
      </c>
      <c r="B90" s="1152" t="s">
        <v>584</v>
      </c>
      <c r="C90" s="1301" t="str">
        <f>+C3</f>
        <v>2017. évi tény</v>
      </c>
      <c r="D90" s="1154" t="str">
        <f>+D3</f>
        <v>2018. évi</v>
      </c>
      <c r="E90" s="1155"/>
    </row>
    <row r="91" spans="1:5" ht="38.1" customHeight="1" thickBot="1" x14ac:dyDescent="0.3">
      <c r="A91" s="1151"/>
      <c r="B91" s="1153"/>
      <c r="C91" s="1302"/>
      <c r="D91" s="28" t="s">
        <v>445</v>
      </c>
      <c r="E91" s="29" t="s">
        <v>221</v>
      </c>
    </row>
    <row r="92" spans="1:5" s="31" customFormat="1" ht="12" customHeight="1" thickBot="1" x14ac:dyDescent="0.25">
      <c r="A92" s="1" t="s">
        <v>446</v>
      </c>
      <c r="B92" s="2" t="s">
        <v>447</v>
      </c>
      <c r="C92" s="2" t="s">
        <v>448</v>
      </c>
      <c r="D92" s="2" t="s">
        <v>450</v>
      </c>
      <c r="E92" s="30" t="s">
        <v>635</v>
      </c>
    </row>
    <row r="93" spans="1:5" ht="12" customHeight="1" thickBot="1" x14ac:dyDescent="0.3">
      <c r="A93" s="3" t="s">
        <v>228</v>
      </c>
      <c r="B93" s="70" t="s">
        <v>167</v>
      </c>
      <c r="C93" s="71">
        <f>SUM(C94:C98)</f>
        <v>2320236612</v>
      </c>
      <c r="D93" s="71">
        <f>'1.sz.mell.'!D94</f>
        <v>2293484923</v>
      </c>
      <c r="E93" s="72">
        <f>+E94+E95+E96+E97+E98</f>
        <v>2137354184</v>
      </c>
    </row>
    <row r="94" spans="1:5" ht="12" customHeight="1" x14ac:dyDescent="0.25">
      <c r="A94" s="13" t="s">
        <v>330</v>
      </c>
      <c r="B94" s="911" t="s">
        <v>331</v>
      </c>
      <c r="C94" s="990">
        <v>1063192965</v>
      </c>
      <c r="D94" s="990">
        <v>973950639</v>
      </c>
      <c r="E94" s="74">
        <v>954601761</v>
      </c>
    </row>
    <row r="95" spans="1:5" ht="12" customHeight="1" x14ac:dyDescent="0.25">
      <c r="A95" s="8" t="s">
        <v>332</v>
      </c>
      <c r="B95" s="929" t="s">
        <v>438</v>
      </c>
      <c r="C95" s="988">
        <v>223000766</v>
      </c>
      <c r="D95" s="988">
        <v>205493807</v>
      </c>
      <c r="E95" s="40">
        <v>198202661</v>
      </c>
    </row>
    <row r="96" spans="1:5" ht="12" customHeight="1" x14ac:dyDescent="0.25">
      <c r="A96" s="8" t="s">
        <v>333</v>
      </c>
      <c r="B96" s="929" t="s">
        <v>334</v>
      </c>
      <c r="C96" s="989">
        <v>840414038</v>
      </c>
      <c r="D96" s="989">
        <v>810844114</v>
      </c>
      <c r="E96" s="43">
        <v>759722479</v>
      </c>
    </row>
    <row r="97" spans="1:5" ht="12" customHeight="1" x14ac:dyDescent="0.25">
      <c r="A97" s="8" t="s">
        <v>335</v>
      </c>
      <c r="B97" s="949" t="s">
        <v>439</v>
      </c>
      <c r="C97" s="989">
        <v>75302178</v>
      </c>
      <c r="D97" s="989">
        <v>139384000</v>
      </c>
      <c r="E97" s="43">
        <v>67052084</v>
      </c>
    </row>
    <row r="98" spans="1:5" ht="12" customHeight="1" x14ac:dyDescent="0.25">
      <c r="A98" s="8" t="s">
        <v>336</v>
      </c>
      <c r="B98" s="551" t="s">
        <v>440</v>
      </c>
      <c r="C98" s="989">
        <v>118326665</v>
      </c>
      <c r="D98" s="989">
        <v>163812363</v>
      </c>
      <c r="E98" s="43">
        <v>157775199</v>
      </c>
    </row>
    <row r="99" spans="1:5" ht="12" customHeight="1" x14ac:dyDescent="0.25">
      <c r="A99" s="8" t="s">
        <v>337</v>
      </c>
      <c r="B99" s="929" t="s">
        <v>585</v>
      </c>
      <c r="C99" s="989">
        <v>10168527</v>
      </c>
      <c r="D99" s="989">
        <v>159000</v>
      </c>
      <c r="E99" s="43">
        <v>0</v>
      </c>
    </row>
    <row r="100" spans="1:5" ht="12" customHeight="1" x14ac:dyDescent="0.25">
      <c r="A100" s="8" t="s">
        <v>338</v>
      </c>
      <c r="B100" s="928" t="s">
        <v>586</v>
      </c>
      <c r="C100" s="989"/>
      <c r="D100" s="989"/>
      <c r="E100" s="43"/>
    </row>
    <row r="101" spans="1:5" ht="12" customHeight="1" x14ac:dyDescent="0.25">
      <c r="A101" s="8" t="s">
        <v>339</v>
      </c>
      <c r="B101" s="929" t="s">
        <v>587</v>
      </c>
      <c r="C101" s="989"/>
      <c r="D101" s="989"/>
      <c r="E101" s="43"/>
    </row>
    <row r="102" spans="1:5" ht="12" customHeight="1" x14ac:dyDescent="0.25">
      <c r="A102" s="8" t="s">
        <v>340</v>
      </c>
      <c r="B102" s="929" t="s">
        <v>588</v>
      </c>
      <c r="C102" s="989"/>
      <c r="D102" s="989"/>
      <c r="E102" s="43"/>
    </row>
    <row r="103" spans="1:5" ht="12" customHeight="1" x14ac:dyDescent="0.25">
      <c r="A103" s="8" t="s">
        <v>341</v>
      </c>
      <c r="B103" s="928" t="s">
        <v>589</v>
      </c>
      <c r="C103" s="989">
        <v>785000</v>
      </c>
      <c r="D103" s="989">
        <v>660000</v>
      </c>
      <c r="E103" s="43">
        <v>746500</v>
      </c>
    </row>
    <row r="104" spans="1:5" ht="12" customHeight="1" x14ac:dyDescent="0.25">
      <c r="A104" s="8" t="s">
        <v>342</v>
      </c>
      <c r="B104" s="928" t="s">
        <v>590</v>
      </c>
      <c r="C104" s="989"/>
      <c r="D104" s="989"/>
      <c r="E104" s="43"/>
    </row>
    <row r="105" spans="1:5" ht="12" customHeight="1" x14ac:dyDescent="0.25">
      <c r="A105" s="8" t="s">
        <v>343</v>
      </c>
      <c r="B105" s="929" t="s">
        <v>591</v>
      </c>
      <c r="C105" s="989"/>
      <c r="D105" s="989"/>
      <c r="E105" s="43"/>
    </row>
    <row r="106" spans="1:5" ht="12" customHeight="1" x14ac:dyDescent="0.25">
      <c r="A106" s="592" t="s">
        <v>592</v>
      </c>
      <c r="B106" s="931" t="s">
        <v>593</v>
      </c>
      <c r="C106" s="989"/>
      <c r="D106" s="989"/>
      <c r="E106" s="43"/>
    </row>
    <row r="107" spans="1:5" ht="12" customHeight="1" x14ac:dyDescent="0.25">
      <c r="A107" s="592" t="s">
        <v>594</v>
      </c>
      <c r="B107" s="931" t="s">
        <v>287</v>
      </c>
      <c r="C107" s="989"/>
      <c r="D107" s="989">
        <v>5258498</v>
      </c>
      <c r="E107" s="43">
        <v>5249844</v>
      </c>
    </row>
    <row r="108" spans="1:5" ht="12" customHeight="1" x14ac:dyDescent="0.25">
      <c r="A108" s="8" t="s">
        <v>596</v>
      </c>
      <c r="B108" s="931" t="s">
        <v>595</v>
      </c>
      <c r="C108" s="989"/>
      <c r="D108" s="989"/>
      <c r="E108" s="43"/>
    </row>
    <row r="109" spans="1:5" ht="12" customHeight="1" thickBot="1" x14ac:dyDescent="0.3">
      <c r="A109" s="15" t="s">
        <v>187</v>
      </c>
      <c r="B109" s="944" t="s">
        <v>597</v>
      </c>
      <c r="C109" s="991">
        <v>107373138</v>
      </c>
      <c r="D109" s="991">
        <v>157734865</v>
      </c>
      <c r="E109" s="77">
        <v>151778855</v>
      </c>
    </row>
    <row r="110" spans="1:5" ht="12" customHeight="1" thickBot="1" x14ac:dyDescent="0.3">
      <c r="A110" s="4" t="s">
        <v>234</v>
      </c>
      <c r="B110" s="19" t="s">
        <v>168</v>
      </c>
      <c r="C110" s="985">
        <f>+C111+C112+C113</f>
        <v>194808124</v>
      </c>
      <c r="D110" s="32">
        <f>+D111+D112+D113</f>
        <v>717442110</v>
      </c>
      <c r="E110" s="33">
        <f>+E111+E112+E113</f>
        <v>397118900</v>
      </c>
    </row>
    <row r="111" spans="1:5" ht="12" customHeight="1" x14ac:dyDescent="0.25">
      <c r="A111" s="10" t="s">
        <v>344</v>
      </c>
      <c r="B111" s="550" t="s">
        <v>142</v>
      </c>
      <c r="C111" s="995">
        <v>41111560</v>
      </c>
      <c r="D111" s="36">
        <v>374710583</v>
      </c>
      <c r="E111" s="37">
        <v>117395559</v>
      </c>
    </row>
    <row r="112" spans="1:5" x14ac:dyDescent="0.25">
      <c r="A112" s="10" t="s">
        <v>345</v>
      </c>
      <c r="B112" s="552" t="s">
        <v>225</v>
      </c>
      <c r="C112" s="996">
        <v>140483298</v>
      </c>
      <c r="D112" s="39">
        <v>276110806</v>
      </c>
      <c r="E112" s="40">
        <v>234332492</v>
      </c>
    </row>
    <row r="113" spans="1:5" ht="12" customHeight="1" x14ac:dyDescent="0.25">
      <c r="A113" s="10" t="s">
        <v>346</v>
      </c>
      <c r="B113" s="539" t="s">
        <v>143</v>
      </c>
      <c r="C113" s="996">
        <v>13213266</v>
      </c>
      <c r="D113" s="39">
        <v>66620721</v>
      </c>
      <c r="E113" s="40">
        <v>45390849</v>
      </c>
    </row>
    <row r="114" spans="1:5" x14ac:dyDescent="0.25">
      <c r="A114" s="10" t="s">
        <v>347</v>
      </c>
      <c r="B114" s="538" t="s">
        <v>354</v>
      </c>
      <c r="C114" s="996"/>
      <c r="D114" s="39"/>
      <c r="E114" s="40"/>
    </row>
    <row r="115" spans="1:5" x14ac:dyDescent="0.25">
      <c r="A115" s="10" t="s">
        <v>348</v>
      </c>
      <c r="B115" s="553" t="s">
        <v>599</v>
      </c>
      <c r="C115" s="996"/>
      <c r="D115" s="39"/>
      <c r="E115" s="40"/>
    </row>
    <row r="116" spans="1:5" ht="12" customHeight="1" x14ac:dyDescent="0.25">
      <c r="A116" s="10" t="s">
        <v>349</v>
      </c>
      <c r="B116" s="550" t="s">
        <v>588</v>
      </c>
      <c r="C116" s="996"/>
      <c r="D116" s="39"/>
      <c r="E116" s="40"/>
    </row>
    <row r="117" spans="1:5" ht="12" customHeight="1" x14ac:dyDescent="0.25">
      <c r="A117" s="10" t="s">
        <v>350</v>
      </c>
      <c r="B117" s="550" t="s">
        <v>600</v>
      </c>
      <c r="C117" s="996"/>
      <c r="D117" s="39"/>
      <c r="E117" s="40"/>
    </row>
    <row r="118" spans="1:5" ht="12" customHeight="1" x14ac:dyDescent="0.25">
      <c r="A118" s="10" t="s">
        <v>441</v>
      </c>
      <c r="B118" s="550" t="s">
        <v>601</v>
      </c>
      <c r="C118" s="996"/>
      <c r="D118" s="39"/>
      <c r="E118" s="40"/>
    </row>
    <row r="119" spans="1:5" s="80" customFormat="1" ht="12" customHeight="1" x14ac:dyDescent="0.2">
      <c r="A119" s="10" t="s">
        <v>442</v>
      </c>
      <c r="B119" s="550" t="s">
        <v>591</v>
      </c>
      <c r="C119" s="996">
        <v>1015</v>
      </c>
      <c r="D119" s="39"/>
      <c r="E119" s="40"/>
    </row>
    <row r="120" spans="1:5" ht="12" customHeight="1" x14ac:dyDescent="0.25">
      <c r="A120" s="10" t="s">
        <v>127</v>
      </c>
      <c r="B120" s="550" t="s">
        <v>604</v>
      </c>
      <c r="C120" s="996"/>
      <c r="D120" s="39"/>
      <c r="E120" s="40"/>
    </row>
    <row r="121" spans="1:5" ht="12" customHeight="1" thickBot="1" x14ac:dyDescent="0.3">
      <c r="A121" s="10" t="s">
        <v>602</v>
      </c>
      <c r="B121" s="550" t="s">
        <v>606</v>
      </c>
      <c r="C121" s="997">
        <v>13212251</v>
      </c>
      <c r="D121" s="42">
        <v>66620721</v>
      </c>
      <c r="E121" s="43">
        <v>45390849</v>
      </c>
    </row>
    <row r="122" spans="1:5" ht="12" customHeight="1" thickBot="1" x14ac:dyDescent="0.3">
      <c r="A122" s="4" t="s">
        <v>235</v>
      </c>
      <c r="B122" s="554" t="s">
        <v>607</v>
      </c>
      <c r="C122" s="32">
        <f>+C123+C124</f>
        <v>0</v>
      </c>
      <c r="D122" s="32">
        <f>+D123+D124</f>
        <v>91990058</v>
      </c>
      <c r="E122" s="33">
        <f>+E123+E124</f>
        <v>0</v>
      </c>
    </row>
    <row r="123" spans="1:5" ht="12" customHeight="1" x14ac:dyDescent="0.25">
      <c r="A123" s="10" t="s">
        <v>312</v>
      </c>
      <c r="B123" s="553" t="s">
        <v>351</v>
      </c>
      <c r="C123" s="36"/>
      <c r="D123" s="36">
        <v>10857171</v>
      </c>
      <c r="E123" s="37"/>
    </row>
    <row r="124" spans="1:5" ht="12" customHeight="1" thickBot="1" x14ac:dyDescent="0.3">
      <c r="A124" s="12" t="s">
        <v>313</v>
      </c>
      <c r="B124" s="552" t="s">
        <v>352</v>
      </c>
      <c r="C124" s="42"/>
      <c r="D124" s="42">
        <v>81132887</v>
      </c>
      <c r="E124" s="43"/>
    </row>
    <row r="125" spans="1:5" ht="12" customHeight="1" thickBot="1" x14ac:dyDescent="0.3">
      <c r="A125" s="4" t="s">
        <v>236</v>
      </c>
      <c r="B125" s="554" t="s">
        <v>608</v>
      </c>
      <c r="C125" s="32">
        <f>+C93+C110+C122</f>
        <v>2515044736</v>
      </c>
      <c r="D125" s="32">
        <f>+D93+D110+D122</f>
        <v>3102917091</v>
      </c>
      <c r="E125" s="33">
        <f>+E93+E110+E122</f>
        <v>2534473084</v>
      </c>
    </row>
    <row r="126" spans="1:5" ht="12" customHeight="1" thickBot="1" x14ac:dyDescent="0.3">
      <c r="A126" s="4" t="s">
        <v>237</v>
      </c>
      <c r="B126" s="554" t="s">
        <v>609</v>
      </c>
      <c r="C126" s="32">
        <f>+C127+C128+C129</f>
        <v>3160000</v>
      </c>
      <c r="D126" s="32">
        <f>+D127+D128+D129</f>
        <v>108486704</v>
      </c>
      <c r="E126" s="33">
        <f>+E127+E128+E129</f>
        <v>8118704</v>
      </c>
    </row>
    <row r="127" spans="1:5" ht="12" customHeight="1" x14ac:dyDescent="0.25">
      <c r="A127" s="10" t="s">
        <v>319</v>
      </c>
      <c r="B127" s="553" t="s">
        <v>159</v>
      </c>
      <c r="C127" s="998">
        <v>3160000</v>
      </c>
      <c r="D127" s="39">
        <v>8486704</v>
      </c>
      <c r="E127" s="40">
        <v>8118704</v>
      </c>
    </row>
    <row r="128" spans="1:5" ht="12" customHeight="1" x14ac:dyDescent="0.25">
      <c r="A128" s="10" t="s">
        <v>320</v>
      </c>
      <c r="B128" s="553" t="s">
        <v>160</v>
      </c>
      <c r="C128" s="39"/>
      <c r="D128" s="39">
        <v>100000000</v>
      </c>
      <c r="E128" s="40"/>
    </row>
    <row r="129" spans="1:8" ht="12" customHeight="1" thickBot="1" x14ac:dyDescent="0.3">
      <c r="A129" s="6" t="s">
        <v>321</v>
      </c>
      <c r="B129" s="555" t="s">
        <v>161</v>
      </c>
      <c r="C129" s="39"/>
      <c r="D129" s="39"/>
      <c r="E129" s="40"/>
    </row>
    <row r="130" spans="1:8" ht="12" customHeight="1" thickBot="1" x14ac:dyDescent="0.3">
      <c r="A130" s="4" t="s">
        <v>240</v>
      </c>
      <c r="B130" s="554" t="s">
        <v>613</v>
      </c>
      <c r="C130" s="32">
        <f>+C131+C132+C133+C134</f>
        <v>0</v>
      </c>
      <c r="D130" s="32">
        <f>+D131+D132+D133+D134</f>
        <v>0</v>
      </c>
      <c r="E130" s="33">
        <f>+E131+E132+E133+E134</f>
        <v>0</v>
      </c>
    </row>
    <row r="131" spans="1:8" ht="12" customHeight="1" x14ac:dyDescent="0.25">
      <c r="A131" s="10" t="s">
        <v>322</v>
      </c>
      <c r="B131" s="553" t="s">
        <v>162</v>
      </c>
      <c r="C131" s="39"/>
      <c r="D131" s="39"/>
      <c r="E131" s="40"/>
    </row>
    <row r="132" spans="1:8" ht="12" customHeight="1" x14ac:dyDescent="0.25">
      <c r="A132" s="10" t="s">
        <v>323</v>
      </c>
      <c r="B132" s="553" t="s">
        <v>163</v>
      </c>
      <c r="C132" s="39"/>
      <c r="D132" s="39"/>
      <c r="E132" s="40"/>
    </row>
    <row r="133" spans="1:8" ht="12" customHeight="1" x14ac:dyDescent="0.25">
      <c r="A133" s="10" t="s">
        <v>509</v>
      </c>
      <c r="B133" s="553" t="s">
        <v>164</v>
      </c>
      <c r="C133" s="39"/>
      <c r="D133" s="39"/>
      <c r="E133" s="40"/>
    </row>
    <row r="134" spans="1:8" ht="12" customHeight="1" thickBot="1" x14ac:dyDescent="0.3">
      <c r="A134" s="6" t="s">
        <v>511</v>
      </c>
      <c r="B134" s="555" t="s">
        <v>165</v>
      </c>
      <c r="C134" s="39"/>
      <c r="D134" s="39"/>
      <c r="E134" s="40"/>
    </row>
    <row r="135" spans="1:8" ht="12" customHeight="1" thickBot="1" x14ac:dyDescent="0.3">
      <c r="A135" s="4" t="s">
        <v>241</v>
      </c>
      <c r="B135" s="554" t="s">
        <v>618</v>
      </c>
      <c r="C135" s="46">
        <f>+C136+C137+C138+C139</f>
        <v>35164932</v>
      </c>
      <c r="D135" s="46">
        <f>+D136+D137+D138+D139</f>
        <v>38167591</v>
      </c>
      <c r="E135" s="47">
        <f>+E136+E137+E138+E139</f>
        <v>38167591</v>
      </c>
    </row>
    <row r="136" spans="1:8" ht="12" customHeight="1" x14ac:dyDescent="0.25">
      <c r="A136" s="10" t="s">
        <v>324</v>
      </c>
      <c r="B136" s="553" t="s">
        <v>619</v>
      </c>
      <c r="C136" s="39"/>
      <c r="D136" s="39"/>
      <c r="E136" s="40"/>
    </row>
    <row r="137" spans="1:8" ht="12" customHeight="1" x14ac:dyDescent="0.25">
      <c r="A137" s="10" t="s">
        <v>325</v>
      </c>
      <c r="B137" s="553" t="s">
        <v>620</v>
      </c>
      <c r="C137" s="984">
        <v>35164932</v>
      </c>
      <c r="D137" s="1000">
        <v>38167591</v>
      </c>
      <c r="E137" s="40">
        <v>38167591</v>
      </c>
    </row>
    <row r="138" spans="1:8" ht="12" customHeight="1" x14ac:dyDescent="0.25">
      <c r="A138" s="10" t="s">
        <v>434</v>
      </c>
      <c r="B138" s="553" t="s">
        <v>166</v>
      </c>
      <c r="C138" s="39"/>
      <c r="D138" s="39"/>
      <c r="E138" s="40"/>
    </row>
    <row r="139" spans="1:8" ht="12" customHeight="1" thickBot="1" x14ac:dyDescent="0.3">
      <c r="A139" s="6" t="s">
        <v>519</v>
      </c>
      <c r="B139" s="555" t="s">
        <v>658</v>
      </c>
      <c r="C139" s="39"/>
      <c r="D139" s="39"/>
      <c r="E139" s="40"/>
    </row>
    <row r="140" spans="1:8" ht="15" customHeight="1" thickBot="1" x14ac:dyDescent="0.3">
      <c r="A140" s="4" t="s">
        <v>242</v>
      </c>
      <c r="B140" s="554" t="s">
        <v>691</v>
      </c>
      <c r="C140" s="556">
        <f>+C141+C142+C143+C144</f>
        <v>0</v>
      </c>
      <c r="D140" s="556">
        <f>+D141+D142+D143+D144</f>
        <v>0</v>
      </c>
      <c r="E140" s="557">
        <f>+E141+E142+E143+E144</f>
        <v>0</v>
      </c>
      <c r="F140" s="85"/>
      <c r="G140" s="85"/>
      <c r="H140" s="85"/>
    </row>
    <row r="141" spans="1:8" s="34" customFormat="1" ht="12.95" customHeight="1" x14ac:dyDescent="0.2">
      <c r="A141" s="10" t="s">
        <v>435</v>
      </c>
      <c r="B141" s="553" t="s">
        <v>624</v>
      </c>
      <c r="C141" s="39"/>
      <c r="D141" s="39"/>
      <c r="E141" s="40"/>
    </row>
    <row r="142" spans="1:8" ht="13.5" customHeight="1" x14ac:dyDescent="0.25">
      <c r="A142" s="10" t="s">
        <v>436</v>
      </c>
      <c r="B142" s="553" t="s">
        <v>625</v>
      </c>
      <c r="C142" s="39"/>
      <c r="D142" s="39"/>
      <c r="E142" s="40"/>
    </row>
    <row r="143" spans="1:8" ht="13.5" customHeight="1" x14ac:dyDescent="0.25">
      <c r="A143" s="10" t="s">
        <v>524</v>
      </c>
      <c r="B143" s="553" t="s">
        <v>626</v>
      </c>
      <c r="C143" s="39"/>
      <c r="D143" s="39"/>
      <c r="E143" s="40"/>
    </row>
    <row r="144" spans="1:8" ht="13.5" customHeight="1" thickBot="1" x14ac:dyDescent="0.3">
      <c r="A144" s="10" t="s">
        <v>526</v>
      </c>
      <c r="B144" s="553" t="s">
        <v>627</v>
      </c>
      <c r="C144" s="39"/>
      <c r="D144" s="39"/>
      <c r="E144" s="40"/>
    </row>
    <row r="145" spans="1:5" ht="12.75" customHeight="1" thickBot="1" x14ac:dyDescent="0.3">
      <c r="A145" s="4" t="s">
        <v>243</v>
      </c>
      <c r="B145" s="554" t="s">
        <v>628</v>
      </c>
      <c r="C145" s="558">
        <f>+C126+C130+C135+C140</f>
        <v>38324932</v>
      </c>
      <c r="D145" s="558">
        <f>+D126+D130+D135+D140</f>
        <v>146654295</v>
      </c>
      <c r="E145" s="559">
        <f>+E126+E130+E135+E140</f>
        <v>46286295</v>
      </c>
    </row>
    <row r="146" spans="1:5" ht="13.5" customHeight="1" thickBot="1" x14ac:dyDescent="0.3">
      <c r="A146" s="560" t="s">
        <v>244</v>
      </c>
      <c r="B146" s="561" t="s">
        <v>629</v>
      </c>
      <c r="C146" s="558">
        <f>+C125+C145</f>
        <v>2553369668</v>
      </c>
      <c r="D146" s="558">
        <f>+D125+D145</f>
        <v>3249571386</v>
      </c>
      <c r="E146" s="559">
        <f>+E125+E145</f>
        <v>2580759379</v>
      </c>
    </row>
    <row r="147" spans="1:5" ht="13.5" customHeight="1" x14ac:dyDescent="0.25"/>
    <row r="148" spans="1:5" ht="13.5" customHeight="1" x14ac:dyDescent="0.25"/>
    <row r="149" spans="1:5" ht="7.5" customHeight="1" x14ac:dyDescent="0.25"/>
    <row r="151" spans="1:5" ht="12.75" customHeight="1" x14ac:dyDescent="0.25"/>
    <row r="152" spans="1:5" ht="12.75" customHeight="1" x14ac:dyDescent="0.25"/>
    <row r="153" spans="1:5" ht="12.75" customHeight="1" x14ac:dyDescent="0.25"/>
    <row r="154" spans="1:5" ht="12.75" customHeight="1" x14ac:dyDescent="0.25"/>
    <row r="155" spans="1:5" ht="12.75" customHeight="1" x14ac:dyDescent="0.25"/>
    <row r="156" spans="1:5" ht="12.75" customHeight="1" x14ac:dyDescent="0.25"/>
    <row r="157" spans="1:5" ht="12.75" customHeight="1" x14ac:dyDescent="0.25"/>
    <row r="158" spans="1:5" ht="12.75" customHeight="1" x14ac:dyDescent="0.25"/>
  </sheetData>
  <mergeCells count="10">
    <mergeCell ref="A88:E88"/>
    <mergeCell ref="A90:A91"/>
    <mergeCell ref="B90:B91"/>
    <mergeCell ref="D90:E90"/>
    <mergeCell ref="C90:C91"/>
    <mergeCell ref="A1:E1"/>
    <mergeCell ref="A3:A4"/>
    <mergeCell ref="B3:B4"/>
    <mergeCell ref="D3:E3"/>
    <mergeCell ref="C3:C4"/>
  </mergeCells>
  <phoneticPr fontId="25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r:id="rId1"/>
  <headerFooter alignWithMargins="0">
    <oddHeader>&amp;C&amp;"Times New Roman CE,Félkövér"&amp;12
Tiszavasvári Város Önkormányzata
2018. ÉVI ZÁRSZÁMADÁSÁNAK PÉNZÜGYI MÉRLEGE&amp;10
&amp;R&amp;"Times New Roman CE,Félkövér dőlt"&amp;11 9. tájékoztató tábla a ../.....(....) önkormányzati rendelethez</oddHeader>
  </headerFooter>
  <rowBreaks count="1" manualBreakCount="1">
    <brk id="87" max="5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theme="6"/>
    <pageSetUpPr fitToPage="1"/>
  </sheetPr>
  <dimension ref="A1:I20"/>
  <sheetViews>
    <sheetView zoomScaleNormal="100" workbookViewId="0">
      <selection activeCell="D11" sqref="D11"/>
    </sheetView>
  </sheetViews>
  <sheetFormatPr defaultColWidth="8" defaultRowHeight="12.75" x14ac:dyDescent="0.2"/>
  <cols>
    <col min="1" max="1" width="5.85546875" style="588" customWidth="1"/>
    <col min="2" max="2" width="43.140625" style="578" customWidth="1"/>
    <col min="3" max="5" width="11" style="578" customWidth="1"/>
    <col min="6" max="6" width="11.85546875" style="578" customWidth="1"/>
    <col min="7" max="7" width="13.28515625" style="578" customWidth="1"/>
    <col min="8" max="8" width="14.42578125" style="578" customWidth="1"/>
    <col min="9" max="9" width="4.85546875" style="578" customWidth="1"/>
    <col min="10" max="16384" width="8" style="578"/>
  </cols>
  <sheetData>
    <row r="1" spans="1:9" s="562" customFormat="1" ht="15.75" thickBot="1" x14ac:dyDescent="0.25">
      <c r="A1" s="1314" t="s">
        <v>230</v>
      </c>
      <c r="B1" s="1314"/>
      <c r="C1" s="1314"/>
      <c r="D1" s="1314"/>
      <c r="E1" s="1314"/>
      <c r="F1" s="1314"/>
      <c r="G1" s="1314"/>
      <c r="H1" s="563" t="s">
        <v>490</v>
      </c>
      <c r="I1" s="1303" t="s">
        <v>988</v>
      </c>
    </row>
    <row r="2" spans="1:9" s="564" customFormat="1" ht="26.25" customHeight="1" x14ac:dyDescent="0.2">
      <c r="A2" s="1306" t="s">
        <v>394</v>
      </c>
      <c r="B2" s="1308" t="s">
        <v>169</v>
      </c>
      <c r="C2" s="1306" t="s">
        <v>170</v>
      </c>
      <c r="D2" s="1306" t="s">
        <v>171</v>
      </c>
      <c r="E2" s="1310" t="s">
        <v>816</v>
      </c>
      <c r="F2" s="1312" t="s">
        <v>172</v>
      </c>
      <c r="G2" s="1313"/>
      <c r="H2" s="1304" t="s">
        <v>768</v>
      </c>
      <c r="I2" s="1303"/>
    </row>
    <row r="3" spans="1:9" s="565" customFormat="1" ht="40.5" customHeight="1" thickBot="1" x14ac:dyDescent="0.25">
      <c r="A3" s="1307"/>
      <c r="B3" s="1309"/>
      <c r="C3" s="1309"/>
      <c r="D3" s="1307"/>
      <c r="E3" s="1311"/>
      <c r="F3" s="710" t="s">
        <v>817</v>
      </c>
      <c r="G3" s="711" t="s">
        <v>818</v>
      </c>
      <c r="H3" s="1305"/>
      <c r="I3" s="1303"/>
    </row>
    <row r="4" spans="1:9" s="570" customFormat="1" ht="12.95" customHeight="1" thickBot="1" x14ac:dyDescent="0.25">
      <c r="A4" s="566" t="s">
        <v>446</v>
      </c>
      <c r="B4" s="567" t="s">
        <v>447</v>
      </c>
      <c r="C4" s="567" t="s">
        <v>448</v>
      </c>
      <c r="D4" s="568" t="s">
        <v>449</v>
      </c>
      <c r="E4" s="566" t="s">
        <v>450</v>
      </c>
      <c r="F4" s="568" t="s">
        <v>635</v>
      </c>
      <c r="G4" s="568" t="s">
        <v>636</v>
      </c>
      <c r="H4" s="569" t="s">
        <v>637</v>
      </c>
      <c r="I4" s="1303"/>
    </row>
    <row r="5" spans="1:9" ht="22.5" customHeight="1" thickBot="1" x14ac:dyDescent="0.25">
      <c r="A5" s="571" t="s">
        <v>228</v>
      </c>
      <c r="B5" s="572" t="s">
        <v>173</v>
      </c>
      <c r="C5" s="573"/>
      <c r="D5" s="574"/>
      <c r="E5" s="575">
        <f>SUM(E6:E11)</f>
        <v>0</v>
      </c>
      <c r="F5" s="576">
        <f>SUM(F6:F11)</f>
        <v>0</v>
      </c>
      <c r="G5" s="576">
        <f>SUM(G6:G11)</f>
        <v>0</v>
      </c>
      <c r="H5" s="577">
        <f>SUM(H6:H11)</f>
        <v>0</v>
      </c>
      <c r="I5" s="1303"/>
    </row>
    <row r="6" spans="1:9" ht="22.5" customHeight="1" x14ac:dyDescent="0.2">
      <c r="A6" s="579" t="s">
        <v>234</v>
      </c>
      <c r="B6" s="580" t="s">
        <v>737</v>
      </c>
      <c r="C6" s="581"/>
      <c r="D6" s="582"/>
      <c r="E6" s="583"/>
      <c r="F6" s="584"/>
      <c r="G6" s="584"/>
      <c r="H6" s="585"/>
      <c r="I6" s="1303"/>
    </row>
    <row r="7" spans="1:9" ht="22.5" customHeight="1" x14ac:dyDescent="0.2">
      <c r="A7" s="579" t="s">
        <v>235</v>
      </c>
      <c r="B7" s="580" t="s">
        <v>737</v>
      </c>
      <c r="C7" s="581"/>
      <c r="D7" s="582"/>
      <c r="E7" s="583"/>
      <c r="F7" s="584"/>
      <c r="G7" s="584"/>
      <c r="H7" s="585"/>
      <c r="I7" s="1303"/>
    </row>
    <row r="8" spans="1:9" ht="22.5" customHeight="1" x14ac:dyDescent="0.2">
      <c r="A8" s="579" t="s">
        <v>236</v>
      </c>
      <c r="B8" s="580" t="s">
        <v>737</v>
      </c>
      <c r="C8" s="581"/>
      <c r="D8" s="582"/>
      <c r="E8" s="583"/>
      <c r="F8" s="584"/>
      <c r="G8" s="584"/>
      <c r="H8" s="585"/>
      <c r="I8" s="1303"/>
    </row>
    <row r="9" spans="1:9" ht="22.5" customHeight="1" x14ac:dyDescent="0.2">
      <c r="A9" s="579" t="s">
        <v>237</v>
      </c>
      <c r="B9" s="580" t="s">
        <v>737</v>
      </c>
      <c r="C9" s="581"/>
      <c r="D9" s="582"/>
      <c r="E9" s="583"/>
      <c r="F9" s="584"/>
      <c r="G9" s="584"/>
      <c r="H9" s="585"/>
      <c r="I9" s="1303"/>
    </row>
    <row r="10" spans="1:9" ht="22.5" customHeight="1" x14ac:dyDescent="0.2">
      <c r="A10" s="579" t="s">
        <v>240</v>
      </c>
      <c r="B10" s="580" t="s">
        <v>737</v>
      </c>
      <c r="C10" s="581"/>
      <c r="D10" s="582"/>
      <c r="E10" s="583"/>
      <c r="F10" s="584"/>
      <c r="G10" s="584"/>
      <c r="H10" s="585"/>
      <c r="I10" s="1303"/>
    </row>
    <row r="11" spans="1:9" ht="22.5" customHeight="1" thickBot="1" x14ac:dyDescent="0.25">
      <c r="A11" s="579" t="s">
        <v>241</v>
      </c>
      <c r="B11" s="580" t="s">
        <v>737</v>
      </c>
      <c r="C11" s="581"/>
      <c r="D11" s="582"/>
      <c r="E11" s="583"/>
      <c r="F11" s="584"/>
      <c r="G11" s="584"/>
      <c r="H11" s="585"/>
      <c r="I11" s="1303"/>
    </row>
    <row r="12" spans="1:9" ht="22.5" customHeight="1" thickBot="1" x14ac:dyDescent="0.25">
      <c r="A12" s="571" t="s">
        <v>242</v>
      </c>
      <c r="B12" s="572" t="s">
        <v>174</v>
      </c>
      <c r="C12" s="586"/>
      <c r="D12" s="587"/>
      <c r="E12" s="575">
        <f>SUM(E13:E18)</f>
        <v>0</v>
      </c>
      <c r="F12" s="576">
        <f>SUM(F13:F18)</f>
        <v>0</v>
      </c>
      <c r="G12" s="576">
        <f>SUM(G13:G18)</f>
        <v>0</v>
      </c>
      <c r="H12" s="577">
        <f>SUM(H13:H18)</f>
        <v>0</v>
      </c>
      <c r="I12" s="1303"/>
    </row>
    <row r="13" spans="1:9" ht="22.5" customHeight="1" x14ac:dyDescent="0.2">
      <c r="A13" s="579" t="s">
        <v>243</v>
      </c>
      <c r="B13" s="580" t="s">
        <v>737</v>
      </c>
      <c r="C13" s="581"/>
      <c r="D13" s="582"/>
      <c r="E13" s="583"/>
      <c r="F13" s="584"/>
      <c r="G13" s="584"/>
      <c r="H13" s="585"/>
      <c r="I13" s="1303"/>
    </row>
    <row r="14" spans="1:9" ht="22.5" customHeight="1" x14ac:dyDescent="0.2">
      <c r="A14" s="579" t="s">
        <v>244</v>
      </c>
      <c r="B14" s="580" t="s">
        <v>737</v>
      </c>
      <c r="C14" s="581"/>
      <c r="D14" s="582"/>
      <c r="E14" s="583"/>
      <c r="F14" s="584"/>
      <c r="G14" s="584"/>
      <c r="H14" s="585"/>
      <c r="I14" s="1303"/>
    </row>
    <row r="15" spans="1:9" ht="22.5" customHeight="1" x14ac:dyDescent="0.2">
      <c r="A15" s="579" t="s">
        <v>245</v>
      </c>
      <c r="B15" s="580" t="s">
        <v>737</v>
      </c>
      <c r="C15" s="581"/>
      <c r="D15" s="582"/>
      <c r="E15" s="583"/>
      <c r="F15" s="584"/>
      <c r="G15" s="584"/>
      <c r="H15" s="585"/>
      <c r="I15" s="1303"/>
    </row>
    <row r="16" spans="1:9" ht="22.5" customHeight="1" x14ac:dyDescent="0.2">
      <c r="A16" s="579" t="s">
        <v>246</v>
      </c>
      <c r="B16" s="580" t="s">
        <v>737</v>
      </c>
      <c r="C16" s="581"/>
      <c r="D16" s="582"/>
      <c r="E16" s="583"/>
      <c r="F16" s="584"/>
      <c r="G16" s="584"/>
      <c r="H16" s="585"/>
      <c r="I16" s="1303"/>
    </row>
    <row r="17" spans="1:9" ht="22.5" customHeight="1" x14ac:dyDescent="0.2">
      <c r="A17" s="579" t="s">
        <v>247</v>
      </c>
      <c r="B17" s="580" t="s">
        <v>737</v>
      </c>
      <c r="C17" s="581"/>
      <c r="D17" s="582"/>
      <c r="E17" s="583"/>
      <c r="F17" s="584"/>
      <c r="G17" s="584"/>
      <c r="H17" s="585"/>
      <c r="I17" s="1303"/>
    </row>
    <row r="18" spans="1:9" ht="22.5" customHeight="1" thickBot="1" x14ac:dyDescent="0.25">
      <c r="A18" s="579" t="s">
        <v>250</v>
      </c>
      <c r="B18" s="580" t="s">
        <v>737</v>
      </c>
      <c r="C18" s="581"/>
      <c r="D18" s="582"/>
      <c r="E18" s="583"/>
      <c r="F18" s="584"/>
      <c r="G18" s="584"/>
      <c r="H18" s="585"/>
      <c r="I18" s="1303"/>
    </row>
    <row r="19" spans="1:9" ht="22.5" customHeight="1" thickBot="1" x14ac:dyDescent="0.25">
      <c r="A19" s="571" t="s">
        <v>251</v>
      </c>
      <c r="B19" s="572" t="s">
        <v>175</v>
      </c>
      <c r="C19" s="573"/>
      <c r="D19" s="574"/>
      <c r="E19" s="575">
        <f>E5+E12</f>
        <v>0</v>
      </c>
      <c r="F19" s="576">
        <f>F5+F12</f>
        <v>0</v>
      </c>
      <c r="G19" s="576">
        <f>G5+G12</f>
        <v>0</v>
      </c>
      <c r="H19" s="577">
        <f>H5+H12</f>
        <v>0</v>
      </c>
      <c r="I19" s="1303"/>
    </row>
    <row r="20" spans="1:9" ht="20.100000000000001" customHeight="1" x14ac:dyDescent="0.2"/>
  </sheetData>
  <mergeCells count="9">
    <mergeCell ref="I1:I19"/>
    <mergeCell ref="H2:H3"/>
    <mergeCell ref="A2:A3"/>
    <mergeCell ref="B2:B3"/>
    <mergeCell ref="C2:C3"/>
    <mergeCell ref="D2:D3"/>
    <mergeCell ref="E2:E3"/>
    <mergeCell ref="F2:G2"/>
    <mergeCell ref="A1:G1"/>
  </mergeCells>
  <phoneticPr fontId="25" type="noConversion"/>
  <printOptions horizontalCentered="1"/>
  <pageMargins left="0.78740157480314965" right="0.78740157480314965" top="1.5748031496062993" bottom="0.98425196850393704" header="0.78740157480314965" footer="0.78740157480314965"/>
  <pageSetup paperSize="9" orientation="landscape" verticalDpi="300" r:id="rId1"/>
  <headerFooter alignWithMargins="0">
    <oddHeader>&amp;C&amp;"Times New Roman CE,Félkövér"&amp;12
Az önkormányzat által nyújtott hitel és kölcsön alakulása
 lejárat és eszközök szerinti bontásban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  <pageSetUpPr fitToPage="1"/>
  </sheetPr>
  <dimension ref="A1:H43"/>
  <sheetViews>
    <sheetView zoomScaleNormal="100" workbookViewId="0">
      <selection activeCell="B8" sqref="B8"/>
    </sheetView>
  </sheetViews>
  <sheetFormatPr defaultColWidth="8" defaultRowHeight="12.75" x14ac:dyDescent="0.2"/>
  <cols>
    <col min="1" max="1" width="36.140625" style="172" customWidth="1"/>
    <col min="2" max="7" width="13.42578125" style="156" customWidth="1"/>
    <col min="8" max="8" width="4.42578125" style="156" customWidth="1"/>
    <col min="9" max="12" width="8" style="156"/>
    <col min="13" max="13" width="8.7109375" style="156" bestFit="1" customWidth="1"/>
    <col min="14" max="16384" width="8" style="156"/>
  </cols>
  <sheetData>
    <row r="1" spans="1:8" ht="18" customHeight="1" x14ac:dyDescent="0.2">
      <c r="A1" s="1163" t="s">
        <v>663</v>
      </c>
      <c r="B1" s="1163"/>
      <c r="C1" s="1163"/>
      <c r="D1" s="1163"/>
      <c r="E1" s="1163"/>
      <c r="F1" s="1163"/>
      <c r="G1" s="1163"/>
      <c r="H1" s="1315" t="s">
        <v>821</v>
      </c>
    </row>
    <row r="2" spans="1:8" ht="22.5" customHeight="1" thickBot="1" x14ac:dyDescent="0.3">
      <c r="A2" s="95"/>
      <c r="B2" s="1164" t="s">
        <v>763</v>
      </c>
      <c r="C2" s="1164"/>
      <c r="D2" s="1164"/>
      <c r="E2" s="1164"/>
      <c r="F2" s="1162" t="s">
        <v>490</v>
      </c>
      <c r="G2" s="1162"/>
      <c r="H2" s="1315"/>
    </row>
    <row r="3" spans="1:8" s="159" customFormat="1" ht="50.25" customHeight="1" thickBot="1" x14ac:dyDescent="0.25">
      <c r="A3" s="100" t="s">
        <v>664</v>
      </c>
      <c r="B3" s="101" t="s">
        <v>665</v>
      </c>
      <c r="C3" s="101" t="s">
        <v>666</v>
      </c>
      <c r="D3" s="101" t="s">
        <v>799</v>
      </c>
      <c r="E3" s="101" t="s">
        <v>797</v>
      </c>
      <c r="F3" s="157" t="s">
        <v>796</v>
      </c>
      <c r="G3" s="158" t="s">
        <v>800</v>
      </c>
      <c r="H3" s="1315"/>
    </row>
    <row r="4" spans="1:8" s="94" customFormat="1" ht="12" customHeight="1" thickBot="1" x14ac:dyDescent="0.25">
      <c r="A4" s="160" t="s">
        <v>446</v>
      </c>
      <c r="B4" s="161" t="s">
        <v>447</v>
      </c>
      <c r="C4" s="161" t="s">
        <v>448</v>
      </c>
      <c r="D4" s="161" t="s">
        <v>449</v>
      </c>
      <c r="E4" s="161" t="s">
        <v>450</v>
      </c>
      <c r="F4" s="162" t="s">
        <v>635</v>
      </c>
      <c r="G4" s="163" t="s">
        <v>667</v>
      </c>
      <c r="H4" s="1315"/>
    </row>
    <row r="5" spans="1:8" x14ac:dyDescent="0.2">
      <c r="A5" s="731" t="s">
        <v>857</v>
      </c>
      <c r="B5" s="732">
        <v>359410</v>
      </c>
      <c r="C5" s="733" t="s">
        <v>855</v>
      </c>
      <c r="D5" s="726"/>
      <c r="E5" s="734">
        <v>359410</v>
      </c>
      <c r="F5" s="727"/>
      <c r="G5" s="680">
        <f>D5+F5</f>
        <v>0</v>
      </c>
      <c r="H5" s="1315"/>
    </row>
    <row r="6" spans="1:8" x14ac:dyDescent="0.2">
      <c r="A6" s="731" t="s">
        <v>858</v>
      </c>
      <c r="B6" s="735">
        <v>752475</v>
      </c>
      <c r="C6" s="736" t="s">
        <v>855</v>
      </c>
      <c r="D6" s="726"/>
      <c r="E6" s="737">
        <v>752475</v>
      </c>
      <c r="F6" s="727">
        <f>592500+159975</f>
        <v>752475</v>
      </c>
      <c r="G6" s="680">
        <f t="shared" ref="G6:G33" si="0">D6+F6</f>
        <v>752475</v>
      </c>
      <c r="H6" s="1315"/>
    </row>
    <row r="7" spans="1:8" x14ac:dyDescent="0.2">
      <c r="A7" s="738" t="s">
        <v>841</v>
      </c>
      <c r="B7" s="739">
        <v>2345001</v>
      </c>
      <c r="C7" s="740" t="s">
        <v>855</v>
      </c>
      <c r="D7" s="726"/>
      <c r="E7" s="728">
        <v>2345001</v>
      </c>
      <c r="F7" s="727">
        <f>275000+74250</f>
        <v>349250</v>
      </c>
      <c r="G7" s="680">
        <f t="shared" si="0"/>
        <v>349250</v>
      </c>
      <c r="H7" s="1315"/>
    </row>
    <row r="8" spans="1:8" x14ac:dyDescent="0.2">
      <c r="A8" s="741" t="s">
        <v>842</v>
      </c>
      <c r="B8" s="739">
        <v>9307411</v>
      </c>
      <c r="C8" s="740" t="s">
        <v>856</v>
      </c>
      <c r="D8" s="726"/>
      <c r="E8" s="728">
        <v>9307411</v>
      </c>
      <c r="F8" s="727">
        <f>7383670+1805941</f>
        <v>9189611</v>
      </c>
      <c r="G8" s="680">
        <f t="shared" si="0"/>
        <v>9189611</v>
      </c>
      <c r="H8" s="1315"/>
    </row>
    <row r="9" spans="1:8" x14ac:dyDescent="0.2">
      <c r="A9" s="746" t="s">
        <v>792</v>
      </c>
      <c r="B9" s="739">
        <v>214128351</v>
      </c>
      <c r="C9" s="740" t="s">
        <v>856</v>
      </c>
      <c r="D9" s="726"/>
      <c r="E9" s="728">
        <v>214128351</v>
      </c>
      <c r="F9" s="727">
        <f>12003000+3240810</f>
        <v>15243810</v>
      </c>
      <c r="G9" s="680">
        <f t="shared" si="0"/>
        <v>15243810</v>
      </c>
      <c r="H9" s="1315"/>
    </row>
    <row r="10" spans="1:8" x14ac:dyDescent="0.2">
      <c r="A10" s="741" t="s">
        <v>843</v>
      </c>
      <c r="B10" s="739">
        <v>0</v>
      </c>
      <c r="C10" s="740" t="s">
        <v>855</v>
      </c>
      <c r="D10" s="726"/>
      <c r="E10" s="728">
        <v>0</v>
      </c>
      <c r="F10" s="727"/>
      <c r="G10" s="680">
        <f t="shared" si="0"/>
        <v>0</v>
      </c>
      <c r="H10" s="1315"/>
    </row>
    <row r="11" spans="1:8" x14ac:dyDescent="0.2">
      <c r="A11" s="747" t="s">
        <v>844</v>
      </c>
      <c r="B11" s="739">
        <v>12714483</v>
      </c>
      <c r="C11" s="740" t="s">
        <v>856</v>
      </c>
      <c r="D11" s="726"/>
      <c r="E11" s="728">
        <v>12714483</v>
      </c>
      <c r="F11" s="727">
        <f>502488+135672</f>
        <v>638160</v>
      </c>
      <c r="G11" s="680">
        <f t="shared" si="0"/>
        <v>638160</v>
      </c>
      <c r="H11" s="1315"/>
    </row>
    <row r="12" spans="1:8" x14ac:dyDescent="0.2">
      <c r="A12" s="738" t="s">
        <v>845</v>
      </c>
      <c r="B12" s="739">
        <v>327609</v>
      </c>
      <c r="C12" s="740" t="s">
        <v>855</v>
      </c>
      <c r="D12" s="726"/>
      <c r="E12" s="728">
        <v>381000</v>
      </c>
      <c r="F12" s="727"/>
      <c r="G12" s="680">
        <f t="shared" si="0"/>
        <v>0</v>
      </c>
      <c r="H12" s="1315"/>
    </row>
    <row r="13" spans="1:8" x14ac:dyDescent="0.2">
      <c r="A13" s="742" t="s">
        <v>846</v>
      </c>
      <c r="B13" s="743"/>
      <c r="C13" s="740" t="s">
        <v>855</v>
      </c>
      <c r="D13" s="728"/>
      <c r="E13" s="605">
        <v>1500000</v>
      </c>
      <c r="F13" s="727"/>
      <c r="G13" s="680">
        <f t="shared" si="0"/>
        <v>0</v>
      </c>
      <c r="H13" s="1315"/>
    </row>
    <row r="14" spans="1:8" ht="25.5" x14ac:dyDescent="0.2">
      <c r="A14" s="738" t="s">
        <v>859</v>
      </c>
      <c r="B14" s="739">
        <v>1422400</v>
      </c>
      <c r="C14" s="740" t="s">
        <v>855</v>
      </c>
      <c r="D14" s="728"/>
      <c r="E14" s="728">
        <v>1422400</v>
      </c>
      <c r="F14" s="727">
        <v>1422400</v>
      </c>
      <c r="G14" s="680">
        <f t="shared" si="0"/>
        <v>1422400</v>
      </c>
      <c r="H14" s="1315"/>
    </row>
    <row r="15" spans="1:8" ht="25.5" x14ac:dyDescent="0.2">
      <c r="A15" s="738" t="s">
        <v>860</v>
      </c>
      <c r="B15" s="739">
        <v>457200</v>
      </c>
      <c r="C15" s="740" t="s">
        <v>855</v>
      </c>
      <c r="D15" s="726"/>
      <c r="E15" s="728">
        <v>457200</v>
      </c>
      <c r="F15" s="727">
        <f>97200+360000</f>
        <v>457200</v>
      </c>
      <c r="G15" s="680">
        <f t="shared" si="0"/>
        <v>457200</v>
      </c>
      <c r="H15" s="1315"/>
    </row>
    <row r="16" spans="1:8" x14ac:dyDescent="0.2">
      <c r="A16" s="742" t="s">
        <v>847</v>
      </c>
      <c r="B16" s="743">
        <v>554000</v>
      </c>
      <c r="C16" s="740" t="s">
        <v>855</v>
      </c>
      <c r="D16" s="726"/>
      <c r="E16" s="605">
        <v>2740000</v>
      </c>
      <c r="F16" s="727">
        <f>554000</f>
        <v>554000</v>
      </c>
      <c r="G16" s="680">
        <f t="shared" si="0"/>
        <v>554000</v>
      </c>
      <c r="H16" s="1315"/>
    </row>
    <row r="17" spans="1:8" x14ac:dyDescent="0.2">
      <c r="A17" s="741" t="s">
        <v>848</v>
      </c>
      <c r="B17" s="743">
        <v>374185</v>
      </c>
      <c r="C17" s="740" t="s">
        <v>855</v>
      </c>
      <c r="D17" s="729"/>
      <c r="E17" s="605">
        <v>374185</v>
      </c>
      <c r="F17" s="727"/>
      <c r="G17" s="680">
        <f t="shared" si="0"/>
        <v>0</v>
      </c>
      <c r="H17" s="1315"/>
    </row>
    <row r="18" spans="1:8" x14ac:dyDescent="0.2">
      <c r="A18" s="738" t="s">
        <v>849</v>
      </c>
      <c r="B18" s="739"/>
      <c r="C18" s="740" t="s">
        <v>855</v>
      </c>
      <c r="D18" s="729"/>
      <c r="E18" s="728">
        <v>25400</v>
      </c>
      <c r="F18" s="727"/>
      <c r="G18" s="680">
        <f t="shared" si="0"/>
        <v>0</v>
      </c>
      <c r="H18" s="1315"/>
    </row>
    <row r="19" spans="1:8" ht="38.25" x14ac:dyDescent="0.2">
      <c r="A19" s="738" t="s">
        <v>861</v>
      </c>
      <c r="B19" s="739">
        <v>202570</v>
      </c>
      <c r="C19" s="740" t="s">
        <v>855</v>
      </c>
      <c r="D19" s="729"/>
      <c r="E19" s="728">
        <v>275000</v>
      </c>
      <c r="F19" s="727">
        <f>177570+25000</f>
        <v>202570</v>
      </c>
      <c r="G19" s="680">
        <f t="shared" si="0"/>
        <v>202570</v>
      </c>
      <c r="H19" s="1315"/>
    </row>
    <row r="20" spans="1:8" ht="25.5" x14ac:dyDescent="0.2">
      <c r="A20" s="748" t="s">
        <v>850</v>
      </c>
      <c r="B20" s="743">
        <v>254000</v>
      </c>
      <c r="C20" s="740" t="s">
        <v>855</v>
      </c>
      <c r="D20" s="726"/>
      <c r="E20" s="728">
        <v>254000</v>
      </c>
      <c r="F20" s="727"/>
      <c r="G20" s="680">
        <f t="shared" si="0"/>
        <v>0</v>
      </c>
      <c r="H20" s="1315"/>
    </row>
    <row r="21" spans="1:8" x14ac:dyDescent="0.2">
      <c r="A21" s="748" t="s">
        <v>851</v>
      </c>
      <c r="B21" s="743">
        <v>59346084</v>
      </c>
      <c r="C21" s="740" t="s">
        <v>856</v>
      </c>
      <c r="D21" s="728">
        <f>25930681-472408-20930495</f>
        <v>4527778</v>
      </c>
      <c r="E21" s="728">
        <v>54818306</v>
      </c>
      <c r="F21" s="727">
        <f>54253095+350691</f>
        <v>54603786</v>
      </c>
      <c r="G21" s="680">
        <f t="shared" si="0"/>
        <v>59131564</v>
      </c>
      <c r="H21" s="1315"/>
    </row>
    <row r="22" spans="1:8" x14ac:dyDescent="0.2">
      <c r="A22" s="748" t="s">
        <v>852</v>
      </c>
      <c r="B22" s="743">
        <v>381000</v>
      </c>
      <c r="C22" s="740" t="s">
        <v>855</v>
      </c>
      <c r="D22" s="605"/>
      <c r="E22" s="605">
        <v>381000</v>
      </c>
      <c r="F22" s="727"/>
      <c r="G22" s="680">
        <f t="shared" si="0"/>
        <v>0</v>
      </c>
      <c r="H22" s="1315"/>
    </row>
    <row r="23" spans="1:8" x14ac:dyDescent="0.2">
      <c r="A23" s="748" t="s">
        <v>853</v>
      </c>
      <c r="B23" s="743">
        <v>194882</v>
      </c>
      <c r="C23" s="740" t="s">
        <v>855</v>
      </c>
      <c r="D23" s="729"/>
      <c r="E23" s="728">
        <v>377190</v>
      </c>
      <c r="F23" s="727">
        <f>153450+41432</f>
        <v>194882</v>
      </c>
      <c r="G23" s="680">
        <f t="shared" si="0"/>
        <v>194882</v>
      </c>
      <c r="H23" s="1315"/>
    </row>
    <row r="24" spans="1:8" ht="25.5" x14ac:dyDescent="0.2">
      <c r="A24" s="748" t="s">
        <v>862</v>
      </c>
      <c r="B24" s="743">
        <v>1887870</v>
      </c>
      <c r="C24" s="740" t="s">
        <v>855</v>
      </c>
      <c r="D24" s="605"/>
      <c r="E24" s="728">
        <v>1887870</v>
      </c>
      <c r="F24" s="727"/>
      <c r="G24" s="680">
        <f t="shared" si="0"/>
        <v>0</v>
      </c>
      <c r="H24" s="1315"/>
    </row>
    <row r="25" spans="1:8" ht="15.95" customHeight="1" x14ac:dyDescent="0.2">
      <c r="A25" s="748" t="s">
        <v>854</v>
      </c>
      <c r="B25" s="743">
        <v>4950460</v>
      </c>
      <c r="C25" s="740" t="s">
        <v>855</v>
      </c>
      <c r="D25" s="729"/>
      <c r="E25" s="605">
        <v>4950460</v>
      </c>
      <c r="F25" s="727">
        <f>3898000+1052460</f>
        <v>4950460</v>
      </c>
      <c r="G25" s="680">
        <f t="shared" si="0"/>
        <v>4950460</v>
      </c>
      <c r="H25" s="1315"/>
    </row>
    <row r="26" spans="1:8" ht="15.95" customHeight="1" x14ac:dyDescent="0.2">
      <c r="A26" s="717" t="s">
        <v>863</v>
      </c>
      <c r="B26" s="739">
        <v>0</v>
      </c>
      <c r="C26" s="740" t="s">
        <v>855</v>
      </c>
      <c r="D26" s="729"/>
      <c r="E26" s="728">
        <v>3000</v>
      </c>
      <c r="F26" s="727"/>
      <c r="G26" s="680">
        <f t="shared" si="0"/>
        <v>0</v>
      </c>
      <c r="H26" s="1315"/>
    </row>
    <row r="27" spans="1:8" ht="25.5" x14ac:dyDescent="0.2">
      <c r="A27" s="717" t="s">
        <v>864</v>
      </c>
      <c r="B27" s="739">
        <v>6704583</v>
      </c>
      <c r="C27" s="740" t="s">
        <v>855</v>
      </c>
      <c r="D27" s="729"/>
      <c r="E27" s="728">
        <v>6704583</v>
      </c>
      <c r="F27" s="727"/>
      <c r="G27" s="680">
        <f t="shared" si="0"/>
        <v>0</v>
      </c>
      <c r="H27" s="1315"/>
    </row>
    <row r="28" spans="1:8" ht="25.5" x14ac:dyDescent="0.2">
      <c r="A28" s="717" t="s">
        <v>865</v>
      </c>
      <c r="B28" s="739">
        <v>4969510</v>
      </c>
      <c r="C28" s="740" t="s">
        <v>855</v>
      </c>
      <c r="D28" s="730"/>
      <c r="E28" s="728">
        <v>4969510</v>
      </c>
      <c r="F28" s="727">
        <v>4969510</v>
      </c>
      <c r="G28" s="680">
        <f t="shared" si="0"/>
        <v>4969510</v>
      </c>
      <c r="H28" s="1315"/>
    </row>
    <row r="29" spans="1:8" ht="27.75" customHeight="1" x14ac:dyDescent="0.2">
      <c r="A29" s="745" t="s">
        <v>866</v>
      </c>
      <c r="B29" s="739">
        <v>25000000</v>
      </c>
      <c r="C29" s="740" t="s">
        <v>855</v>
      </c>
      <c r="D29" s="730"/>
      <c r="E29" s="728">
        <v>25000000</v>
      </c>
      <c r="F29" s="727"/>
      <c r="G29" s="680">
        <f t="shared" si="0"/>
        <v>0</v>
      </c>
      <c r="H29" s="1315"/>
    </row>
    <row r="30" spans="1:8" ht="25.5" x14ac:dyDescent="0.2">
      <c r="A30" s="717" t="s">
        <v>867</v>
      </c>
      <c r="B30" s="743">
        <v>180160</v>
      </c>
      <c r="C30" s="740" t="s">
        <v>855</v>
      </c>
      <c r="D30" s="729"/>
      <c r="E30" s="605">
        <v>1153160</v>
      </c>
      <c r="F30" s="727">
        <f>5500+33020+38075+6200+69980+7180+7505+12700</f>
        <v>180160</v>
      </c>
      <c r="G30" s="680">
        <f t="shared" si="0"/>
        <v>180160</v>
      </c>
      <c r="H30" s="1315"/>
    </row>
    <row r="31" spans="1:8" ht="25.5" x14ac:dyDescent="0.2">
      <c r="A31" s="717" t="s">
        <v>868</v>
      </c>
      <c r="B31" s="744">
        <v>117045</v>
      </c>
      <c r="C31" s="740" t="s">
        <v>855</v>
      </c>
      <c r="D31" s="729"/>
      <c r="E31" s="605">
        <v>840740</v>
      </c>
      <c r="F31" s="727">
        <f>38995+3770+18480+55800</f>
        <v>117045</v>
      </c>
      <c r="G31" s="680">
        <f t="shared" si="0"/>
        <v>117045</v>
      </c>
      <c r="H31" s="1315"/>
    </row>
    <row r="32" spans="1:8" ht="14.25" customHeight="1" x14ac:dyDescent="0.2">
      <c r="A32" s="717" t="s">
        <v>869</v>
      </c>
      <c r="B32" s="744"/>
      <c r="C32" s="740" t="s">
        <v>855</v>
      </c>
      <c r="D32" s="729"/>
      <c r="E32" s="605"/>
      <c r="F32" s="727"/>
      <c r="G32" s="680">
        <f t="shared" si="0"/>
        <v>0</v>
      </c>
      <c r="H32" s="1315"/>
    </row>
    <row r="33" spans="1:8" ht="18" customHeight="1" thickBot="1" x14ac:dyDescent="0.25">
      <c r="A33" s="717" t="s">
        <v>870</v>
      </c>
      <c r="B33" s="744"/>
      <c r="C33" s="740" t="s">
        <v>855</v>
      </c>
      <c r="D33" s="729"/>
      <c r="E33" s="605">
        <v>290830</v>
      </c>
      <c r="F33" s="727"/>
      <c r="G33" s="680">
        <f t="shared" si="0"/>
        <v>0</v>
      </c>
      <c r="H33" s="1315"/>
    </row>
    <row r="34" spans="1:8" s="171" customFormat="1" ht="18" customHeight="1" thickBot="1" x14ac:dyDescent="0.25">
      <c r="A34" s="167" t="s">
        <v>227</v>
      </c>
      <c r="B34" s="168">
        <f>SUM(B5:B33)</f>
        <v>346930689</v>
      </c>
      <c r="C34" s="169"/>
      <c r="D34" s="168">
        <f>SUM(D5:D33)</f>
        <v>4527778</v>
      </c>
      <c r="E34" s="168">
        <f>SUM(E5:E33)</f>
        <v>348412965</v>
      </c>
      <c r="F34" s="168">
        <f>SUM(F5:F33)</f>
        <v>93825319</v>
      </c>
      <c r="G34" s="170">
        <f>SUM(G5:G33)</f>
        <v>98353097</v>
      </c>
      <c r="H34" s="1315"/>
    </row>
    <row r="35" spans="1:8" x14ac:dyDescent="0.2">
      <c r="F35" s="171"/>
      <c r="G35" s="171"/>
      <c r="H35" s="173"/>
    </row>
    <row r="36" spans="1:8" x14ac:dyDescent="0.2">
      <c r="H36" s="173"/>
    </row>
    <row r="37" spans="1:8" x14ac:dyDescent="0.2">
      <c r="D37" s="593"/>
      <c r="F37" s="514"/>
      <c r="H37" s="173"/>
    </row>
    <row r="38" spans="1:8" x14ac:dyDescent="0.2">
      <c r="H38" s="173"/>
    </row>
    <row r="39" spans="1:8" x14ac:dyDescent="0.2">
      <c r="H39" s="173"/>
    </row>
    <row r="40" spans="1:8" x14ac:dyDescent="0.2">
      <c r="H40" s="173"/>
    </row>
    <row r="41" spans="1:8" x14ac:dyDescent="0.2">
      <c r="H41" s="173"/>
    </row>
    <row r="42" spans="1:8" x14ac:dyDescent="0.2">
      <c r="H42" s="173"/>
    </row>
    <row r="43" spans="1:8" x14ac:dyDescent="0.2">
      <c r="H43" s="173"/>
    </row>
  </sheetData>
  <mergeCells count="4">
    <mergeCell ref="F2:G2"/>
    <mergeCell ref="A1:G1"/>
    <mergeCell ref="H1:H34"/>
    <mergeCell ref="B2:E2"/>
  </mergeCells>
  <phoneticPr fontId="24" type="noConversion"/>
  <printOptions horizontalCentered="1"/>
  <pageMargins left="0.78740157480314965" right="0.78740157480314965" top="1" bottom="0.98425196850393704" header="0.78740157480314965" footer="0.78740157480314965"/>
  <pageSetup paperSize="9" scale="7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83"/>
  <sheetViews>
    <sheetView view="pageLayout" topLeftCell="A67" zoomScaleNormal="70" workbookViewId="0">
      <selection activeCell="E90" sqref="E90"/>
    </sheetView>
  </sheetViews>
  <sheetFormatPr defaultColWidth="8" defaultRowHeight="12.75" x14ac:dyDescent="0.2"/>
  <cols>
    <col min="1" max="1" width="38.140625" style="172" customWidth="1"/>
    <col min="2" max="2" width="13.42578125" style="172" customWidth="1"/>
    <col min="3" max="3" width="10.7109375" style="156" customWidth="1"/>
    <col min="4" max="6" width="13.42578125" style="156" customWidth="1"/>
    <col min="7" max="8" width="8.85546875" style="156" bestFit="1" customWidth="1"/>
    <col min="9" max="16384" width="8" style="156"/>
  </cols>
  <sheetData>
    <row r="1" spans="1:6" ht="18" customHeight="1" x14ac:dyDescent="0.2">
      <c r="A1" s="1163" t="s">
        <v>663</v>
      </c>
      <c r="B1" s="1163"/>
      <c r="C1" s="1163"/>
      <c r="D1" s="1163"/>
      <c r="E1" s="1163"/>
      <c r="F1" s="1163"/>
    </row>
    <row r="2" spans="1:6" ht="55.5" customHeight="1" thickBot="1" x14ac:dyDescent="0.3">
      <c r="A2" s="95"/>
      <c r="B2" s="1164" t="s">
        <v>764</v>
      </c>
      <c r="C2" s="1164"/>
      <c r="D2" s="94"/>
      <c r="E2" s="1162" t="s">
        <v>489</v>
      </c>
      <c r="F2" s="1162"/>
    </row>
    <row r="3" spans="1:6" s="159" customFormat="1" ht="43.5" customHeight="1" thickBot="1" x14ac:dyDescent="0.25">
      <c r="A3" s="100" t="s">
        <v>664</v>
      </c>
      <c r="B3" s="101" t="s">
        <v>666</v>
      </c>
      <c r="C3" s="101" t="s">
        <v>799</v>
      </c>
      <c r="D3" s="101" t="s">
        <v>797</v>
      </c>
      <c r="E3" s="157" t="s">
        <v>796</v>
      </c>
      <c r="F3" s="158" t="s">
        <v>800</v>
      </c>
    </row>
    <row r="4" spans="1:6" s="94" customFormat="1" ht="12" customHeight="1" thickBot="1" x14ac:dyDescent="0.25">
      <c r="A4" s="160" t="s">
        <v>446</v>
      </c>
      <c r="B4" s="161" t="s">
        <v>447</v>
      </c>
      <c r="C4" s="161" t="s">
        <v>448</v>
      </c>
      <c r="D4" s="161" t="s">
        <v>449</v>
      </c>
      <c r="E4" s="162" t="s">
        <v>450</v>
      </c>
      <c r="F4" s="163" t="s">
        <v>191</v>
      </c>
    </row>
    <row r="5" spans="1:6" s="827" customFormat="1" ht="15.75" customHeight="1" x14ac:dyDescent="0.2">
      <c r="A5" s="821" t="s">
        <v>226</v>
      </c>
      <c r="B5" s="822"/>
      <c r="C5" s="823"/>
      <c r="D5" s="824"/>
      <c r="E5" s="825"/>
      <c r="F5" s="826"/>
    </row>
    <row r="6" spans="1:6" s="834" customFormat="1" ht="15.75" customHeight="1" x14ac:dyDescent="0.2">
      <c r="A6" s="828" t="s">
        <v>897</v>
      </c>
      <c r="B6" s="829">
        <v>2018</v>
      </c>
      <c r="C6" s="830"/>
      <c r="D6" s="831">
        <v>214950</v>
      </c>
      <c r="E6" s="832">
        <v>177800</v>
      </c>
      <c r="F6" s="833">
        <f>SUM(C6,E6)</f>
        <v>177800</v>
      </c>
    </row>
    <row r="7" spans="1:6" s="827" customFormat="1" ht="15.75" customHeight="1" x14ac:dyDescent="0.2">
      <c r="A7" s="828" t="s">
        <v>898</v>
      </c>
      <c r="B7" s="829">
        <v>2018</v>
      </c>
      <c r="C7" s="830"/>
      <c r="D7" s="831">
        <v>368300</v>
      </c>
      <c r="E7" s="832">
        <v>368300</v>
      </c>
      <c r="F7" s="833">
        <f t="shared" ref="F7:F15" si="0">SUM(C7,E7)</f>
        <v>368300</v>
      </c>
    </row>
    <row r="8" spans="1:6" s="834" customFormat="1" ht="15.75" customHeight="1" x14ac:dyDescent="0.2">
      <c r="A8" s="835" t="s">
        <v>899</v>
      </c>
      <c r="B8" s="829">
        <v>2018</v>
      </c>
      <c r="C8" s="836"/>
      <c r="D8" s="837">
        <v>131700</v>
      </c>
      <c r="E8" s="832">
        <v>124940</v>
      </c>
      <c r="F8" s="833">
        <f t="shared" si="0"/>
        <v>124940</v>
      </c>
    </row>
    <row r="9" spans="1:6" s="827" customFormat="1" ht="15.75" customHeight="1" x14ac:dyDescent="0.2">
      <c r="A9" s="838" t="s">
        <v>900</v>
      </c>
      <c r="B9" s="829">
        <v>2018</v>
      </c>
      <c r="C9" s="839"/>
      <c r="D9" s="831">
        <v>83960</v>
      </c>
      <c r="E9" s="832">
        <v>83960</v>
      </c>
      <c r="F9" s="833">
        <f t="shared" si="0"/>
        <v>83960</v>
      </c>
    </row>
    <row r="10" spans="1:6" s="840" customFormat="1" ht="15.75" customHeight="1" x14ac:dyDescent="0.2">
      <c r="A10" s="838" t="s">
        <v>901</v>
      </c>
      <c r="B10" s="829">
        <v>2018</v>
      </c>
      <c r="C10" s="839"/>
      <c r="D10" s="831">
        <v>58510</v>
      </c>
      <c r="E10" s="832">
        <v>52470</v>
      </c>
      <c r="F10" s="833">
        <f t="shared" si="0"/>
        <v>52470</v>
      </c>
    </row>
    <row r="11" spans="1:6" s="827" customFormat="1" ht="15.75" customHeight="1" x14ac:dyDescent="0.2">
      <c r="A11" s="828" t="s">
        <v>902</v>
      </c>
      <c r="B11" s="829" t="s">
        <v>903</v>
      </c>
      <c r="C11" s="830">
        <v>0</v>
      </c>
      <c r="D11" s="831">
        <v>180000</v>
      </c>
      <c r="E11" s="832">
        <v>180000</v>
      </c>
      <c r="F11" s="833">
        <f t="shared" si="0"/>
        <v>180000</v>
      </c>
    </row>
    <row r="12" spans="1:6" s="834" customFormat="1" ht="15.75" customHeight="1" x14ac:dyDescent="0.2">
      <c r="A12" s="841" t="s">
        <v>904</v>
      </c>
      <c r="B12" s="829">
        <v>2018</v>
      </c>
      <c r="C12" s="842"/>
      <c r="D12" s="831">
        <v>149000</v>
      </c>
      <c r="E12" s="832">
        <v>144415</v>
      </c>
      <c r="F12" s="833">
        <f t="shared" si="0"/>
        <v>144415</v>
      </c>
    </row>
    <row r="13" spans="1:6" s="840" customFormat="1" ht="15.75" customHeight="1" x14ac:dyDescent="0.2">
      <c r="A13" s="843" t="s">
        <v>905</v>
      </c>
      <c r="B13" s="829">
        <v>2018</v>
      </c>
      <c r="C13" s="844"/>
      <c r="D13" s="831">
        <v>40000</v>
      </c>
      <c r="E13" s="832">
        <v>39990</v>
      </c>
      <c r="F13" s="833">
        <f t="shared" si="0"/>
        <v>39990</v>
      </c>
    </row>
    <row r="14" spans="1:6" s="840" customFormat="1" ht="15.75" customHeight="1" x14ac:dyDescent="0.2">
      <c r="A14" s="843" t="s">
        <v>906</v>
      </c>
      <c r="B14" s="829">
        <v>2018</v>
      </c>
      <c r="C14" s="844"/>
      <c r="D14" s="831">
        <v>342016</v>
      </c>
      <c r="E14" s="832">
        <v>341992</v>
      </c>
      <c r="F14" s="833">
        <f t="shared" si="0"/>
        <v>341992</v>
      </c>
    </row>
    <row r="15" spans="1:6" s="840" customFormat="1" ht="15.75" customHeight="1" x14ac:dyDescent="0.2">
      <c r="A15" s="843" t="s">
        <v>907</v>
      </c>
      <c r="B15" s="829">
        <v>2018</v>
      </c>
      <c r="C15" s="844"/>
      <c r="D15" s="831">
        <v>131280</v>
      </c>
      <c r="E15" s="832">
        <v>131280</v>
      </c>
      <c r="F15" s="833">
        <f t="shared" si="0"/>
        <v>131280</v>
      </c>
    </row>
    <row r="16" spans="1:6" s="840" customFormat="1" ht="15.75" customHeight="1" x14ac:dyDescent="0.2">
      <c r="A16" s="845" t="s">
        <v>908</v>
      </c>
      <c r="B16" s="846"/>
      <c r="C16" s="847"/>
      <c r="D16" s="848">
        <f>SUM(D6:D15)</f>
        <v>1699716</v>
      </c>
      <c r="E16" s="848">
        <f>SUM(E6:E15)</f>
        <v>1645147</v>
      </c>
      <c r="F16" s="849">
        <f>SUM(F6:F15)</f>
        <v>1645147</v>
      </c>
    </row>
    <row r="17" spans="1:6" s="834" customFormat="1" ht="15.75" customHeight="1" x14ac:dyDescent="0.2">
      <c r="A17" s="850" t="s">
        <v>909</v>
      </c>
      <c r="B17" s="851"/>
      <c r="C17" s="852"/>
      <c r="D17" s="831"/>
      <c r="E17" s="832"/>
      <c r="F17" s="833"/>
    </row>
    <row r="18" spans="1:6" s="834" customFormat="1" ht="23.25" customHeight="1" x14ac:dyDescent="0.2">
      <c r="A18" s="835" t="s">
        <v>910</v>
      </c>
      <c r="B18" s="829">
        <v>2018</v>
      </c>
      <c r="C18" s="836"/>
      <c r="D18" s="837">
        <v>1290385</v>
      </c>
      <c r="E18" s="832">
        <v>1280757</v>
      </c>
      <c r="F18" s="833">
        <f t="shared" ref="F18:F23" si="1">SUM(C18,E18)</f>
        <v>1280757</v>
      </c>
    </row>
    <row r="19" spans="1:6" s="853" customFormat="1" ht="15.75" customHeight="1" x14ac:dyDescent="0.2">
      <c r="A19" s="835" t="s">
        <v>911</v>
      </c>
      <c r="B19" s="829">
        <v>2018</v>
      </c>
      <c r="C19" s="836"/>
      <c r="D19" s="837">
        <v>254000</v>
      </c>
      <c r="E19" s="832">
        <v>234869</v>
      </c>
      <c r="F19" s="833">
        <f t="shared" si="1"/>
        <v>234869</v>
      </c>
    </row>
    <row r="20" spans="1:6" s="834" customFormat="1" ht="15.75" customHeight="1" x14ac:dyDescent="0.2">
      <c r="A20" s="835" t="s">
        <v>912</v>
      </c>
      <c r="B20" s="829">
        <v>2018</v>
      </c>
      <c r="C20" s="836"/>
      <c r="D20" s="837">
        <v>38100</v>
      </c>
      <c r="E20" s="832">
        <v>44601</v>
      </c>
      <c r="F20" s="833">
        <f t="shared" si="1"/>
        <v>44601</v>
      </c>
    </row>
    <row r="21" spans="1:6" s="827" customFormat="1" ht="15.75" customHeight="1" x14ac:dyDescent="0.2">
      <c r="A21" s="828" t="s">
        <v>913</v>
      </c>
      <c r="B21" s="829">
        <v>2018</v>
      </c>
      <c r="C21" s="830"/>
      <c r="D21" s="837">
        <v>89445</v>
      </c>
      <c r="E21" s="832">
        <v>89990</v>
      </c>
      <c r="F21" s="833">
        <f t="shared" si="1"/>
        <v>89990</v>
      </c>
    </row>
    <row r="22" spans="1:6" s="856" customFormat="1" ht="23.45" customHeight="1" x14ac:dyDescent="0.2">
      <c r="A22" s="854" t="s">
        <v>914</v>
      </c>
      <c r="B22" s="829">
        <v>2018</v>
      </c>
      <c r="C22" s="855"/>
      <c r="D22" s="837">
        <v>234950</v>
      </c>
      <c r="E22" s="832">
        <v>251817</v>
      </c>
      <c r="F22" s="833">
        <f t="shared" si="1"/>
        <v>251817</v>
      </c>
    </row>
    <row r="23" spans="1:6" s="834" customFormat="1" ht="16.5" customHeight="1" x14ac:dyDescent="0.2">
      <c r="A23" s="857" t="s">
        <v>915</v>
      </c>
      <c r="B23" s="829">
        <v>2018</v>
      </c>
      <c r="C23" s="858"/>
      <c r="D23" s="837">
        <v>190500</v>
      </c>
      <c r="E23" s="832"/>
      <c r="F23" s="833">
        <f t="shared" si="1"/>
        <v>0</v>
      </c>
    </row>
    <row r="24" spans="1:6" s="840" customFormat="1" ht="15.75" customHeight="1" x14ac:dyDescent="0.2">
      <c r="A24" s="845" t="s">
        <v>916</v>
      </c>
      <c r="B24" s="846"/>
      <c r="C24" s="847"/>
      <c r="D24" s="848">
        <f>SUM(D18:D23)</f>
        <v>2097380</v>
      </c>
      <c r="E24" s="848">
        <f>SUM(E18:E23)</f>
        <v>1902034</v>
      </c>
      <c r="F24" s="849">
        <f>SUM(F18:F23)</f>
        <v>1902034</v>
      </c>
    </row>
    <row r="25" spans="1:6" s="834" customFormat="1" ht="16.5" customHeight="1" x14ac:dyDescent="0.2">
      <c r="A25" s="859" t="s">
        <v>571</v>
      </c>
      <c r="B25" s="860"/>
      <c r="C25" s="861"/>
      <c r="D25" s="837"/>
      <c r="E25" s="832"/>
      <c r="F25" s="833"/>
    </row>
    <row r="26" spans="1:6" s="862" customFormat="1" ht="26.25" customHeight="1" x14ac:dyDescent="0.2">
      <c r="A26" s="854" t="s">
        <v>917</v>
      </c>
      <c r="B26" s="829">
        <v>2018</v>
      </c>
      <c r="C26" s="858"/>
      <c r="D26" s="837">
        <v>300000</v>
      </c>
      <c r="E26" s="832">
        <v>300000</v>
      </c>
      <c r="F26" s="833">
        <f t="shared" ref="F26:F41" si="2">SUM(C26,E26)</f>
        <v>300000</v>
      </c>
    </row>
    <row r="27" spans="1:6" s="840" customFormat="1" x14ac:dyDescent="0.2">
      <c r="A27" s="857" t="s">
        <v>918</v>
      </c>
      <c r="B27" s="829">
        <v>2018</v>
      </c>
      <c r="C27" s="858"/>
      <c r="D27" s="837">
        <v>14500</v>
      </c>
      <c r="E27" s="832">
        <v>14500</v>
      </c>
      <c r="F27" s="833">
        <f t="shared" si="2"/>
        <v>14500</v>
      </c>
    </row>
    <row r="28" spans="1:6" s="827" customFormat="1" ht="22.5" customHeight="1" x14ac:dyDescent="0.2">
      <c r="A28" s="857" t="s">
        <v>919</v>
      </c>
      <c r="B28" s="829">
        <v>2018</v>
      </c>
      <c r="C28" s="858"/>
      <c r="D28" s="837">
        <v>475870</v>
      </c>
      <c r="E28" s="832">
        <v>474980</v>
      </c>
      <c r="F28" s="833">
        <f t="shared" si="2"/>
        <v>474980</v>
      </c>
    </row>
    <row r="29" spans="1:6" s="827" customFormat="1" ht="22.5" customHeight="1" x14ac:dyDescent="0.2">
      <c r="A29" s="857" t="s">
        <v>920</v>
      </c>
      <c r="B29" s="829">
        <v>2018</v>
      </c>
      <c r="C29" s="858"/>
      <c r="D29" s="837">
        <v>24130</v>
      </c>
      <c r="E29" s="832">
        <v>17330</v>
      </c>
      <c r="F29" s="833">
        <f t="shared" si="2"/>
        <v>17330</v>
      </c>
    </row>
    <row r="30" spans="1:6" s="827" customFormat="1" ht="22.5" customHeight="1" x14ac:dyDescent="0.2">
      <c r="A30" s="857" t="s">
        <v>921</v>
      </c>
      <c r="B30" s="829">
        <v>2018</v>
      </c>
      <c r="C30" s="858"/>
      <c r="D30" s="837">
        <v>60000</v>
      </c>
      <c r="E30" s="832">
        <v>47470</v>
      </c>
      <c r="F30" s="833">
        <f t="shared" si="2"/>
        <v>47470</v>
      </c>
    </row>
    <row r="31" spans="1:6" s="840" customFormat="1" ht="22.5" customHeight="1" x14ac:dyDescent="0.2">
      <c r="A31" s="857" t="s">
        <v>922</v>
      </c>
      <c r="B31" s="829">
        <v>2018</v>
      </c>
      <c r="C31" s="858"/>
      <c r="D31" s="837">
        <v>35000</v>
      </c>
      <c r="E31" s="832">
        <v>11999</v>
      </c>
      <c r="F31" s="833">
        <f t="shared" si="2"/>
        <v>11999</v>
      </c>
    </row>
    <row r="32" spans="1:6" s="840" customFormat="1" ht="22.5" customHeight="1" x14ac:dyDescent="0.2">
      <c r="A32" s="857" t="s">
        <v>923</v>
      </c>
      <c r="B32" s="829">
        <v>2018</v>
      </c>
      <c r="C32" s="858"/>
      <c r="D32" s="837">
        <v>0</v>
      </c>
      <c r="E32" s="832">
        <v>9991</v>
      </c>
      <c r="F32" s="833">
        <f t="shared" si="2"/>
        <v>9991</v>
      </c>
    </row>
    <row r="33" spans="1:6" s="840" customFormat="1" ht="22.5" customHeight="1" x14ac:dyDescent="0.2">
      <c r="A33" s="857" t="s">
        <v>924</v>
      </c>
      <c r="B33" s="829">
        <v>2018</v>
      </c>
      <c r="C33" s="858"/>
      <c r="D33" s="837">
        <v>90000</v>
      </c>
      <c r="E33" s="832">
        <v>78990</v>
      </c>
      <c r="F33" s="833">
        <f t="shared" si="2"/>
        <v>78990</v>
      </c>
    </row>
    <row r="34" spans="1:6" s="840" customFormat="1" ht="22.5" customHeight="1" x14ac:dyDescent="0.2">
      <c r="A34" s="857" t="s">
        <v>925</v>
      </c>
      <c r="B34" s="829">
        <v>2018</v>
      </c>
      <c r="C34" s="858"/>
      <c r="D34" s="837">
        <v>30000</v>
      </c>
      <c r="E34" s="832">
        <v>21840</v>
      </c>
      <c r="F34" s="833">
        <f t="shared" si="2"/>
        <v>21840</v>
      </c>
    </row>
    <row r="35" spans="1:6" s="840" customFormat="1" ht="22.5" customHeight="1" x14ac:dyDescent="0.2">
      <c r="A35" s="857" t="s">
        <v>926</v>
      </c>
      <c r="B35" s="829">
        <v>2018</v>
      </c>
      <c r="C35" s="858"/>
      <c r="D35" s="837">
        <v>37000</v>
      </c>
      <c r="E35" s="832">
        <v>31990</v>
      </c>
      <c r="F35" s="833">
        <f t="shared" si="2"/>
        <v>31990</v>
      </c>
    </row>
    <row r="36" spans="1:6" s="834" customFormat="1" ht="21" customHeight="1" x14ac:dyDescent="0.2">
      <c r="A36" s="857" t="s">
        <v>927</v>
      </c>
      <c r="B36" s="829">
        <v>2018</v>
      </c>
      <c r="C36" s="858"/>
      <c r="D36" s="837">
        <v>1612204</v>
      </c>
      <c r="E36" s="832">
        <v>1617796</v>
      </c>
      <c r="F36" s="833">
        <f t="shared" si="2"/>
        <v>1617796</v>
      </c>
    </row>
    <row r="37" spans="1:6" s="863" customFormat="1" ht="21" customHeight="1" x14ac:dyDescent="0.2">
      <c r="A37" s="857" t="s">
        <v>928</v>
      </c>
      <c r="B37" s="829">
        <v>2018</v>
      </c>
      <c r="C37" s="858"/>
      <c r="D37" s="837">
        <v>1598336</v>
      </c>
      <c r="E37" s="832">
        <v>1598336</v>
      </c>
      <c r="F37" s="833">
        <f t="shared" si="2"/>
        <v>1598336</v>
      </c>
    </row>
    <row r="38" spans="1:6" s="863" customFormat="1" ht="21" customHeight="1" x14ac:dyDescent="0.2">
      <c r="A38" s="857" t="s">
        <v>929</v>
      </c>
      <c r="B38" s="829">
        <v>2018</v>
      </c>
      <c r="C38" s="858"/>
      <c r="D38" s="837">
        <v>136269</v>
      </c>
      <c r="E38" s="832">
        <v>86417</v>
      </c>
      <c r="F38" s="833">
        <f t="shared" si="2"/>
        <v>86417</v>
      </c>
    </row>
    <row r="39" spans="1:6" s="863" customFormat="1" ht="21" customHeight="1" x14ac:dyDescent="0.2">
      <c r="A39" s="857" t="s">
        <v>930</v>
      </c>
      <c r="B39" s="829">
        <v>2018</v>
      </c>
      <c r="C39" s="858"/>
      <c r="D39" s="837">
        <v>170000</v>
      </c>
      <c r="E39" s="832">
        <v>159900</v>
      </c>
      <c r="F39" s="833">
        <f t="shared" si="2"/>
        <v>159900</v>
      </c>
    </row>
    <row r="40" spans="1:6" s="863" customFormat="1" ht="28.15" customHeight="1" x14ac:dyDescent="0.2">
      <c r="A40" s="854" t="s">
        <v>931</v>
      </c>
      <c r="B40" s="829">
        <v>2018</v>
      </c>
      <c r="C40" s="855"/>
      <c r="D40" s="837">
        <v>522000</v>
      </c>
      <c r="E40" s="832">
        <v>512229</v>
      </c>
      <c r="F40" s="833">
        <f t="shared" si="2"/>
        <v>512229</v>
      </c>
    </row>
    <row r="41" spans="1:6" s="863" customFormat="1" ht="21" customHeight="1" x14ac:dyDescent="0.2">
      <c r="A41" s="857" t="s">
        <v>932</v>
      </c>
      <c r="B41" s="829">
        <v>2018</v>
      </c>
      <c r="C41" s="858"/>
      <c r="D41" s="837">
        <v>190500</v>
      </c>
      <c r="E41" s="832">
        <v>183990</v>
      </c>
      <c r="F41" s="833">
        <f t="shared" si="2"/>
        <v>183990</v>
      </c>
    </row>
    <row r="42" spans="1:6" s="869" customFormat="1" ht="21" customHeight="1" x14ac:dyDescent="0.2">
      <c r="A42" s="864" t="s">
        <v>933</v>
      </c>
      <c r="B42" s="865"/>
      <c r="C42" s="866"/>
      <c r="D42" s="867">
        <f>SUM(D26:D41)</f>
        <v>5295809</v>
      </c>
      <c r="E42" s="867">
        <f>SUM(E26:E41)</f>
        <v>5167758</v>
      </c>
      <c r="F42" s="868">
        <f>SUM(F26:F41)</f>
        <v>5167758</v>
      </c>
    </row>
    <row r="43" spans="1:6" s="827" customFormat="1" ht="21" customHeight="1" x14ac:dyDescent="0.2">
      <c r="A43" s="859" t="s">
        <v>572</v>
      </c>
      <c r="B43" s="860"/>
      <c r="C43" s="861"/>
      <c r="D43" s="837"/>
      <c r="E43" s="832"/>
      <c r="F43" s="870"/>
    </row>
    <row r="44" spans="1:6" s="827" customFormat="1" ht="21" customHeight="1" x14ac:dyDescent="0.2">
      <c r="A44" s="859" t="s">
        <v>934</v>
      </c>
      <c r="B44" s="860"/>
      <c r="C44" s="861"/>
      <c r="D44" s="837"/>
      <c r="E44" s="832"/>
      <c r="F44" s="870"/>
    </row>
    <row r="45" spans="1:6" s="827" customFormat="1" ht="24" customHeight="1" x14ac:dyDescent="0.2">
      <c r="A45" s="854" t="s">
        <v>935</v>
      </c>
      <c r="B45" s="829">
        <v>2018</v>
      </c>
      <c r="C45" s="855"/>
      <c r="D45" s="871">
        <v>380000</v>
      </c>
      <c r="E45" s="832">
        <v>339400</v>
      </c>
      <c r="F45" s="833">
        <f t="shared" ref="F45:F53" si="3">SUM(C45,E45)</f>
        <v>339400</v>
      </c>
    </row>
    <row r="46" spans="1:6" s="827" customFormat="1" x14ac:dyDescent="0.2">
      <c r="A46" s="857" t="s">
        <v>936</v>
      </c>
      <c r="B46" s="829">
        <v>2018</v>
      </c>
      <c r="C46" s="858"/>
      <c r="D46" s="871">
        <v>40000</v>
      </c>
      <c r="E46" s="1165">
        <v>40600</v>
      </c>
      <c r="F46" s="833">
        <f t="shared" si="3"/>
        <v>40600</v>
      </c>
    </row>
    <row r="47" spans="1:6" s="827" customFormat="1" x14ac:dyDescent="0.2">
      <c r="A47" s="857" t="s">
        <v>937</v>
      </c>
      <c r="B47" s="829">
        <v>2018</v>
      </c>
      <c r="C47" s="858"/>
      <c r="D47" s="871">
        <v>5000</v>
      </c>
      <c r="E47" s="1165"/>
      <c r="F47" s="833">
        <f t="shared" si="3"/>
        <v>0</v>
      </c>
    </row>
    <row r="48" spans="1:6" s="827" customFormat="1" x14ac:dyDescent="0.2">
      <c r="A48" s="857" t="s">
        <v>938</v>
      </c>
      <c r="B48" s="829">
        <v>2018</v>
      </c>
      <c r="C48" s="858"/>
      <c r="D48" s="871">
        <v>2380000</v>
      </c>
      <c r="E48" s="832">
        <v>2275550</v>
      </c>
      <c r="F48" s="833">
        <f t="shared" si="3"/>
        <v>2275550</v>
      </c>
    </row>
    <row r="49" spans="1:7" s="827" customFormat="1" x14ac:dyDescent="0.2">
      <c r="A49" s="859" t="s">
        <v>939</v>
      </c>
      <c r="B49" s="860"/>
      <c r="C49" s="861"/>
      <c r="D49" s="871"/>
      <c r="E49" s="832"/>
      <c r="F49" s="833">
        <f t="shared" si="3"/>
        <v>0</v>
      </c>
    </row>
    <row r="50" spans="1:7" s="840" customFormat="1" x14ac:dyDescent="0.2">
      <c r="A50" s="857" t="s">
        <v>940</v>
      </c>
      <c r="B50" s="829">
        <v>2018</v>
      </c>
      <c r="C50" s="858"/>
      <c r="D50" s="871">
        <v>116080</v>
      </c>
      <c r="E50" s="832">
        <v>116080</v>
      </c>
      <c r="F50" s="833">
        <f t="shared" si="3"/>
        <v>116080</v>
      </c>
    </row>
    <row r="51" spans="1:7" s="840" customFormat="1" x14ac:dyDescent="0.2">
      <c r="A51" s="857" t="s">
        <v>941</v>
      </c>
      <c r="B51" s="829">
        <v>2018</v>
      </c>
      <c r="C51" s="858"/>
      <c r="D51" s="871">
        <v>53253</v>
      </c>
      <c r="E51" s="832">
        <v>53253</v>
      </c>
      <c r="F51" s="833">
        <f t="shared" si="3"/>
        <v>53253</v>
      </c>
    </row>
    <row r="52" spans="1:7" s="834" customFormat="1" ht="21" customHeight="1" x14ac:dyDescent="0.2">
      <c r="A52" s="857" t="s">
        <v>942</v>
      </c>
      <c r="B52" s="829">
        <v>2018</v>
      </c>
      <c r="C52" s="858"/>
      <c r="D52" s="871">
        <v>70000</v>
      </c>
      <c r="E52" s="832">
        <v>81900</v>
      </c>
      <c r="F52" s="833">
        <f t="shared" si="3"/>
        <v>81900</v>
      </c>
      <c r="G52" s="840"/>
    </row>
    <row r="53" spans="1:7" s="840" customFormat="1" ht="19.5" customHeight="1" x14ac:dyDescent="0.2">
      <c r="A53" s="857" t="s">
        <v>943</v>
      </c>
      <c r="B53" s="829">
        <v>2018</v>
      </c>
      <c r="C53" s="858"/>
      <c r="D53" s="871">
        <v>120000</v>
      </c>
      <c r="E53" s="832">
        <v>110000</v>
      </c>
      <c r="F53" s="833">
        <f t="shared" si="3"/>
        <v>110000</v>
      </c>
    </row>
    <row r="54" spans="1:7" s="840" customFormat="1" ht="19.5" customHeight="1" x14ac:dyDescent="0.2">
      <c r="A54" s="859" t="s">
        <v>944</v>
      </c>
      <c r="B54" s="860"/>
      <c r="C54" s="861"/>
      <c r="D54" s="837"/>
      <c r="E54" s="832"/>
      <c r="F54" s="872"/>
    </row>
    <row r="55" spans="1:7" s="840" customFormat="1" ht="19.5" customHeight="1" x14ac:dyDescent="0.2">
      <c r="A55" s="857" t="s">
        <v>943</v>
      </c>
      <c r="B55" s="829">
        <v>2018</v>
      </c>
      <c r="C55" s="858"/>
      <c r="D55" s="837">
        <v>100000</v>
      </c>
      <c r="E55" s="832">
        <v>110000</v>
      </c>
      <c r="F55" s="833">
        <f t="shared" ref="F55:F81" si="4">SUM(C55,E55)</f>
        <v>110000</v>
      </c>
    </row>
    <row r="56" spans="1:7" s="840" customFormat="1" ht="19.5" customHeight="1" x14ac:dyDescent="0.2">
      <c r="A56" s="857" t="s">
        <v>945</v>
      </c>
      <c r="B56" s="829">
        <v>2018</v>
      </c>
      <c r="C56" s="858"/>
      <c r="D56" s="837">
        <v>33000</v>
      </c>
      <c r="E56" s="832">
        <v>23050</v>
      </c>
      <c r="F56" s="833">
        <f t="shared" si="4"/>
        <v>23050</v>
      </c>
    </row>
    <row r="57" spans="1:7" s="840" customFormat="1" ht="19.5" customHeight="1" x14ac:dyDescent="0.2">
      <c r="A57" s="857" t="s">
        <v>946</v>
      </c>
      <c r="B57" s="829">
        <v>2018</v>
      </c>
      <c r="C57" s="858"/>
      <c r="D57" s="837">
        <v>28053</v>
      </c>
      <c r="E57" s="832">
        <v>28049</v>
      </c>
      <c r="F57" s="833">
        <f t="shared" si="4"/>
        <v>28049</v>
      </c>
    </row>
    <row r="58" spans="1:7" s="840" customFormat="1" ht="19.5" customHeight="1" x14ac:dyDescent="0.2">
      <c r="A58" s="873" t="s">
        <v>947</v>
      </c>
      <c r="B58" s="829">
        <v>2018</v>
      </c>
      <c r="C58" s="874"/>
      <c r="D58" s="837">
        <v>1873421</v>
      </c>
      <c r="E58" s="832">
        <f>1155769+1</f>
        <v>1155770</v>
      </c>
      <c r="F58" s="833">
        <f t="shared" si="4"/>
        <v>1155770</v>
      </c>
    </row>
    <row r="59" spans="1:7" s="875" customFormat="1" ht="18" customHeight="1" x14ac:dyDescent="0.2">
      <c r="A59" s="873" t="s">
        <v>948</v>
      </c>
      <c r="B59" s="829">
        <v>2018</v>
      </c>
      <c r="C59" s="874"/>
      <c r="D59" s="837">
        <v>28364</v>
      </c>
      <c r="E59" s="832">
        <v>29101</v>
      </c>
      <c r="F59" s="833">
        <f t="shared" si="4"/>
        <v>29101</v>
      </c>
    </row>
    <row r="60" spans="1:7" s="875" customFormat="1" ht="18" customHeight="1" x14ac:dyDescent="0.2">
      <c r="A60" s="873" t="s">
        <v>949</v>
      </c>
      <c r="B60" s="829">
        <v>2018</v>
      </c>
      <c r="C60" s="874"/>
      <c r="D60" s="837">
        <v>24250</v>
      </c>
      <c r="E60" s="832">
        <v>24250</v>
      </c>
      <c r="F60" s="833">
        <f t="shared" si="4"/>
        <v>24250</v>
      </c>
    </row>
    <row r="61" spans="1:7" s="875" customFormat="1" ht="18" customHeight="1" x14ac:dyDescent="0.2">
      <c r="A61" s="873" t="s">
        <v>950</v>
      </c>
      <c r="B61" s="829">
        <v>2018</v>
      </c>
      <c r="C61" s="874"/>
      <c r="D61" s="837">
        <v>599137</v>
      </c>
      <c r="E61" s="832">
        <v>601931</v>
      </c>
      <c r="F61" s="833">
        <f t="shared" si="4"/>
        <v>601931</v>
      </c>
    </row>
    <row r="62" spans="1:7" s="876" customFormat="1" ht="15" x14ac:dyDescent="0.2">
      <c r="A62" s="873" t="s">
        <v>951</v>
      </c>
      <c r="B62" s="829">
        <v>2018</v>
      </c>
      <c r="C62" s="874"/>
      <c r="D62" s="837">
        <v>29000</v>
      </c>
      <c r="E62" s="832">
        <v>26695</v>
      </c>
      <c r="F62" s="833">
        <f t="shared" si="4"/>
        <v>26695</v>
      </c>
    </row>
    <row r="63" spans="1:7" s="840" customFormat="1" x14ac:dyDescent="0.2">
      <c r="A63" s="873" t="s">
        <v>952</v>
      </c>
      <c r="B63" s="829">
        <v>2018</v>
      </c>
      <c r="C63" s="874"/>
      <c r="D63" s="837">
        <v>4391475</v>
      </c>
      <c r="E63" s="832">
        <v>2874371</v>
      </c>
      <c r="F63" s="833">
        <f t="shared" si="4"/>
        <v>2874371</v>
      </c>
    </row>
    <row r="64" spans="1:7" s="876" customFormat="1" ht="38.25" x14ac:dyDescent="0.2">
      <c r="A64" s="877" t="s">
        <v>953</v>
      </c>
      <c r="B64" s="829">
        <v>2018</v>
      </c>
      <c r="C64" s="878"/>
      <c r="D64" s="837">
        <v>102700</v>
      </c>
      <c r="E64" s="832">
        <f>150000+60000</f>
        <v>210000</v>
      </c>
      <c r="F64" s="833">
        <f t="shared" si="4"/>
        <v>210000</v>
      </c>
    </row>
    <row r="65" spans="1:6" s="876" customFormat="1" ht="15" x14ac:dyDescent="0.2">
      <c r="A65" s="873" t="s">
        <v>954</v>
      </c>
      <c r="B65" s="829">
        <v>2018</v>
      </c>
      <c r="C65" s="874"/>
      <c r="D65" s="871">
        <v>120000</v>
      </c>
      <c r="E65" s="832">
        <v>110000</v>
      </c>
      <c r="F65" s="833">
        <f t="shared" si="4"/>
        <v>110000</v>
      </c>
    </row>
    <row r="66" spans="1:6" s="876" customFormat="1" ht="15" x14ac:dyDescent="0.2">
      <c r="A66" s="873" t="s">
        <v>955</v>
      </c>
      <c r="B66" s="829">
        <v>2018</v>
      </c>
      <c r="C66" s="874"/>
      <c r="D66" s="871">
        <v>10000</v>
      </c>
      <c r="E66" s="832">
        <v>5096</v>
      </c>
      <c r="F66" s="833">
        <f t="shared" si="4"/>
        <v>5096</v>
      </c>
    </row>
    <row r="67" spans="1:6" s="876" customFormat="1" ht="15" x14ac:dyDescent="0.2">
      <c r="A67" s="873" t="s">
        <v>956</v>
      </c>
      <c r="B67" s="829">
        <v>2018</v>
      </c>
      <c r="C67" s="874"/>
      <c r="D67" s="871">
        <v>450000</v>
      </c>
      <c r="E67" s="832">
        <v>578595</v>
      </c>
      <c r="F67" s="833">
        <f t="shared" si="4"/>
        <v>578595</v>
      </c>
    </row>
    <row r="68" spans="1:6" s="876" customFormat="1" ht="15" x14ac:dyDescent="0.2">
      <c r="A68" s="873" t="s">
        <v>957</v>
      </c>
      <c r="B68" s="829">
        <v>2018</v>
      </c>
      <c r="C68" s="874"/>
      <c r="D68" s="871">
        <v>1099820</v>
      </c>
      <c r="E68" s="832">
        <v>1099820</v>
      </c>
      <c r="F68" s="833">
        <f t="shared" si="4"/>
        <v>1099820</v>
      </c>
    </row>
    <row r="69" spans="1:6" s="876" customFormat="1" ht="15" x14ac:dyDescent="0.2">
      <c r="A69" s="879" t="s">
        <v>958</v>
      </c>
      <c r="B69" s="829">
        <v>2018</v>
      </c>
      <c r="C69" s="880"/>
      <c r="D69" s="837">
        <v>2452000</v>
      </c>
      <c r="E69" s="832">
        <f>2090000+311150</f>
        <v>2401150</v>
      </c>
      <c r="F69" s="833">
        <f t="shared" si="4"/>
        <v>2401150</v>
      </c>
    </row>
    <row r="70" spans="1:6" s="876" customFormat="1" ht="15" x14ac:dyDescent="0.2">
      <c r="A70" s="879" t="s">
        <v>959</v>
      </c>
      <c r="B70" s="829">
        <v>2018</v>
      </c>
      <c r="C70" s="880"/>
      <c r="D70" s="837">
        <v>48000</v>
      </c>
      <c r="E70" s="832">
        <v>48000</v>
      </c>
      <c r="F70" s="833">
        <f t="shared" si="4"/>
        <v>48000</v>
      </c>
    </row>
    <row r="71" spans="1:6" s="840" customFormat="1" x14ac:dyDescent="0.2">
      <c r="A71" s="879" t="s">
        <v>960</v>
      </c>
      <c r="B71" s="829">
        <v>2018</v>
      </c>
      <c r="C71" s="880"/>
      <c r="D71" s="831">
        <v>179000</v>
      </c>
      <c r="E71" s="832">
        <v>179000</v>
      </c>
      <c r="F71" s="833">
        <f t="shared" si="4"/>
        <v>179000</v>
      </c>
    </row>
    <row r="72" spans="1:6" s="840" customFormat="1" x14ac:dyDescent="0.2">
      <c r="A72" s="879" t="s">
        <v>961</v>
      </c>
      <c r="B72" s="829">
        <v>2018</v>
      </c>
      <c r="C72" s="880"/>
      <c r="D72" s="831">
        <v>57150</v>
      </c>
      <c r="E72" s="832">
        <v>48579</v>
      </c>
      <c r="F72" s="833">
        <f t="shared" si="4"/>
        <v>48579</v>
      </c>
    </row>
    <row r="73" spans="1:6" s="840" customFormat="1" ht="15.75" customHeight="1" x14ac:dyDescent="0.2">
      <c r="A73" s="845" t="s">
        <v>962</v>
      </c>
      <c r="B73" s="846"/>
      <c r="C73" s="847"/>
      <c r="D73" s="848">
        <f>SUM(D44:D72)</f>
        <v>14789703</v>
      </c>
      <c r="E73" s="848">
        <f>SUM(E44:E72)</f>
        <v>12570240</v>
      </c>
      <c r="F73" s="849">
        <f>SUM(F44:F72)</f>
        <v>12570240</v>
      </c>
    </row>
    <row r="74" spans="1:6" s="876" customFormat="1" ht="15" x14ac:dyDescent="0.2">
      <c r="A74" s="881" t="s">
        <v>193</v>
      </c>
      <c r="B74" s="882"/>
      <c r="C74" s="883"/>
      <c r="D74" s="837"/>
      <c r="E74" s="832"/>
      <c r="F74" s="833">
        <f t="shared" si="4"/>
        <v>0</v>
      </c>
    </row>
    <row r="75" spans="1:6" s="862" customFormat="1" x14ac:dyDescent="0.2">
      <c r="A75" s="843" t="s">
        <v>905</v>
      </c>
      <c r="B75" s="829">
        <v>2018</v>
      </c>
      <c r="C75" s="844"/>
      <c r="D75" s="831">
        <v>70206</v>
      </c>
      <c r="E75" s="832">
        <v>69470</v>
      </c>
      <c r="F75" s="833">
        <f t="shared" si="4"/>
        <v>69470</v>
      </c>
    </row>
    <row r="76" spans="1:6" s="862" customFormat="1" x14ac:dyDescent="0.2">
      <c r="A76" s="843" t="s">
        <v>963</v>
      </c>
      <c r="B76" s="829">
        <v>2018</v>
      </c>
      <c r="C76" s="844"/>
      <c r="D76" s="831">
        <v>24404</v>
      </c>
      <c r="E76" s="832">
        <v>24104</v>
      </c>
      <c r="F76" s="833">
        <f t="shared" si="4"/>
        <v>24104</v>
      </c>
    </row>
    <row r="77" spans="1:6" s="876" customFormat="1" ht="15" x14ac:dyDescent="0.2">
      <c r="A77" s="843" t="s">
        <v>964</v>
      </c>
      <c r="B77" s="829">
        <v>2018</v>
      </c>
      <c r="C77" s="844"/>
      <c r="D77" s="831">
        <v>36200</v>
      </c>
      <c r="E77" s="832">
        <v>28726</v>
      </c>
      <c r="F77" s="833">
        <f t="shared" si="4"/>
        <v>28726</v>
      </c>
    </row>
    <row r="78" spans="1:6" s="876" customFormat="1" ht="15" x14ac:dyDescent="0.2">
      <c r="A78" s="857" t="s">
        <v>965</v>
      </c>
      <c r="B78" s="829">
        <v>2018</v>
      </c>
      <c r="C78" s="858"/>
      <c r="D78" s="831">
        <v>1500000</v>
      </c>
      <c r="E78" s="832">
        <v>1419980</v>
      </c>
      <c r="F78" s="833">
        <f t="shared" si="4"/>
        <v>1419980</v>
      </c>
    </row>
    <row r="79" spans="1:6" s="840" customFormat="1" x14ac:dyDescent="0.2">
      <c r="A79" s="857" t="s">
        <v>966</v>
      </c>
      <c r="B79" s="829">
        <v>2018</v>
      </c>
      <c r="C79" s="858"/>
      <c r="D79" s="831">
        <v>134200</v>
      </c>
      <c r="E79" s="832">
        <v>11140</v>
      </c>
      <c r="F79" s="833">
        <f t="shared" si="4"/>
        <v>11140</v>
      </c>
    </row>
    <row r="80" spans="1:6" s="840" customFormat="1" x14ac:dyDescent="0.2">
      <c r="A80" s="857" t="s">
        <v>967</v>
      </c>
      <c r="B80" s="829">
        <v>2018</v>
      </c>
      <c r="C80" s="858"/>
      <c r="D80" s="831">
        <v>305000</v>
      </c>
      <c r="E80" s="832">
        <v>388060</v>
      </c>
      <c r="F80" s="833">
        <f t="shared" si="4"/>
        <v>388060</v>
      </c>
    </row>
    <row r="81" spans="1:6" s="840" customFormat="1" x14ac:dyDescent="0.2">
      <c r="A81" s="857" t="s">
        <v>968</v>
      </c>
      <c r="B81" s="829">
        <v>2018</v>
      </c>
      <c r="C81" s="858"/>
      <c r="D81" s="831">
        <v>345000</v>
      </c>
      <c r="E81" s="832">
        <v>343581</v>
      </c>
      <c r="F81" s="833">
        <f t="shared" si="4"/>
        <v>343581</v>
      </c>
    </row>
    <row r="82" spans="1:6" s="840" customFormat="1" ht="15.75" customHeight="1" x14ac:dyDescent="0.2">
      <c r="A82" s="845" t="s">
        <v>969</v>
      </c>
      <c r="B82" s="846"/>
      <c r="C82" s="847"/>
      <c r="D82" s="848">
        <f>SUM(D75:D81)</f>
        <v>2415010</v>
      </c>
      <c r="E82" s="848">
        <f>SUM(E75:E81)</f>
        <v>2285061</v>
      </c>
      <c r="F82" s="849">
        <f>SUM(F75:F81)</f>
        <v>2285061</v>
      </c>
    </row>
    <row r="83" spans="1:6" s="863" customFormat="1" ht="13.5" thickBot="1" x14ac:dyDescent="0.25">
      <c r="A83" s="884" t="s">
        <v>970</v>
      </c>
      <c r="B83" s="885"/>
      <c r="C83" s="886"/>
      <c r="D83" s="887">
        <f>SUM(D16,D24,D42,D73,D82)</f>
        <v>26297618</v>
      </c>
      <c r="E83" s="887">
        <f>SUM(E16,E24,E42,E73,E82)</f>
        <v>23570240</v>
      </c>
      <c r="F83" s="888">
        <f>SUM(F16,F24,F42,F73,F82)</f>
        <v>23570240</v>
      </c>
    </row>
  </sheetData>
  <mergeCells count="4">
    <mergeCell ref="A1:F1"/>
    <mergeCell ref="B2:C2"/>
    <mergeCell ref="E2:F2"/>
    <mergeCell ref="E46:E47"/>
  </mergeCells>
  <printOptions horizontalCentered="1"/>
  <pageMargins left="0.39370078740157483" right="0.39370078740157483" top="0.98425196850393704" bottom="0.98425196850393704" header="0.78740157480314965" footer="0.78740157480314965"/>
  <pageSetup paperSize="9" scale="85" orientation="portrait" verticalDpi="300" r:id="rId1"/>
  <headerFooter alignWithMargins="0">
    <oddHeader>&amp;R3.2. melléklet a ../.....(....)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  <pageSetUpPr fitToPage="1"/>
  </sheetPr>
  <dimension ref="A1:H17"/>
  <sheetViews>
    <sheetView topLeftCell="A7" zoomScaleNormal="100" zoomScaleSheetLayoutView="130" workbookViewId="0">
      <selection activeCell="F25" sqref="F25"/>
    </sheetView>
  </sheetViews>
  <sheetFormatPr defaultColWidth="8" defaultRowHeight="12.75" x14ac:dyDescent="0.2"/>
  <cols>
    <col min="1" max="1" width="41.28515625" style="172" customWidth="1"/>
    <col min="2" max="7" width="13.5703125" style="156" customWidth="1"/>
    <col min="8" max="8" width="3.5703125" style="156" customWidth="1"/>
    <col min="9" max="10" width="8" style="156"/>
    <col min="11" max="11" width="9.5703125" style="156" bestFit="1" customWidth="1"/>
    <col min="12" max="12" width="8.42578125" style="156" bestFit="1" customWidth="1"/>
    <col min="13" max="16384" width="8" style="156"/>
  </cols>
  <sheetData>
    <row r="1" spans="1:8" ht="24.75" customHeight="1" x14ac:dyDescent="0.2">
      <c r="A1" s="1163" t="s">
        <v>668</v>
      </c>
      <c r="B1" s="1163"/>
      <c r="C1" s="1163"/>
      <c r="D1" s="1163"/>
      <c r="E1" s="1163"/>
      <c r="F1" s="1163"/>
      <c r="G1" s="1163"/>
      <c r="H1" s="1166" t="s">
        <v>822</v>
      </c>
    </row>
    <row r="2" spans="1:8" ht="23.25" customHeight="1" thickBot="1" x14ac:dyDescent="0.3">
      <c r="A2" s="95"/>
      <c r="B2" s="94"/>
      <c r="C2" s="94"/>
      <c r="D2" s="94"/>
      <c r="E2" s="599"/>
      <c r="F2" s="1162" t="s">
        <v>489</v>
      </c>
      <c r="G2" s="1162"/>
      <c r="H2" s="1166"/>
    </row>
    <row r="3" spans="1:8" s="159" customFormat="1" ht="48.75" customHeight="1" thickBot="1" x14ac:dyDescent="0.25">
      <c r="A3" s="100" t="s">
        <v>669</v>
      </c>
      <c r="B3" s="101" t="s">
        <v>665</v>
      </c>
      <c r="C3" s="101" t="s">
        <v>666</v>
      </c>
      <c r="D3" s="101" t="s">
        <v>799</v>
      </c>
      <c r="E3" s="101" t="s">
        <v>797</v>
      </c>
      <c r="F3" s="157" t="s">
        <v>801</v>
      </c>
      <c r="G3" s="158" t="s">
        <v>800</v>
      </c>
      <c r="H3" s="1166"/>
    </row>
    <row r="4" spans="1:8" s="94" customFormat="1" ht="15" customHeight="1" thickBot="1" x14ac:dyDescent="0.25">
      <c r="A4" s="625" t="s">
        <v>446</v>
      </c>
      <c r="B4" s="621" t="s">
        <v>447</v>
      </c>
      <c r="C4" s="621" t="s">
        <v>448</v>
      </c>
      <c r="D4" s="621" t="s">
        <v>449</v>
      </c>
      <c r="E4" s="621" t="s">
        <v>450</v>
      </c>
      <c r="F4" s="622" t="s">
        <v>635</v>
      </c>
      <c r="G4" s="623" t="s">
        <v>667</v>
      </c>
      <c r="H4" s="1166"/>
    </row>
    <row r="5" spans="1:8" ht="20.25" customHeight="1" x14ac:dyDescent="0.2">
      <c r="A5" s="749" t="s">
        <v>871</v>
      </c>
      <c r="B5" s="754">
        <f>146398020+1216660+37902555+63500</f>
        <v>185580735</v>
      </c>
      <c r="C5" s="678" t="s">
        <v>856</v>
      </c>
      <c r="D5" s="677">
        <v>1216660</v>
      </c>
      <c r="E5" s="677">
        <f>146398020+37902555+63500</f>
        <v>184364075</v>
      </c>
      <c r="F5" s="626">
        <f>127000+2632000+710640+3360000+907200+100000+1270000+8482986+2290406+27930482+7541230+11377491+3071923+36287930+9797741+695000+17736426+4788835+5485510+1481088+50000+13500+7005408+1891460+22650330+6115589+120000+32400+127000</f>
        <v>184079575</v>
      </c>
      <c r="G5" s="627">
        <f t="shared" ref="G5:G16" si="0">+D5+F5</f>
        <v>185296235</v>
      </c>
      <c r="H5" s="1166"/>
    </row>
    <row r="6" spans="1:8" ht="15.95" customHeight="1" x14ac:dyDescent="0.2">
      <c r="A6" s="750" t="s">
        <v>872</v>
      </c>
      <c r="B6" s="755">
        <v>3201452</v>
      </c>
      <c r="C6" s="679" t="s">
        <v>855</v>
      </c>
      <c r="D6" s="605"/>
      <c r="E6" s="635">
        <v>3201452</v>
      </c>
      <c r="F6" s="624">
        <f>2520828+680624</f>
        <v>3201452</v>
      </c>
      <c r="G6" s="606">
        <f t="shared" si="0"/>
        <v>3201452</v>
      </c>
      <c r="H6" s="1166"/>
    </row>
    <row r="7" spans="1:8" ht="28.5" customHeight="1" x14ac:dyDescent="0.2">
      <c r="A7" s="750" t="s">
        <v>873</v>
      </c>
      <c r="B7" s="755">
        <f>5819140-5144770</f>
        <v>674370</v>
      </c>
      <c r="C7" s="679" t="s">
        <v>855</v>
      </c>
      <c r="D7" s="605"/>
      <c r="E7" s="635">
        <f>5819140-5144770</f>
        <v>674370</v>
      </c>
      <c r="F7" s="624">
        <f>250000+69100+18657+461900+124713</f>
        <v>924370</v>
      </c>
      <c r="G7" s="606">
        <f t="shared" si="0"/>
        <v>924370</v>
      </c>
      <c r="H7" s="1166"/>
    </row>
    <row r="8" spans="1:8" ht="15.95" customHeight="1" x14ac:dyDescent="0.2">
      <c r="A8" s="750" t="s">
        <v>874</v>
      </c>
      <c r="B8" s="755">
        <v>0</v>
      </c>
      <c r="C8" s="679" t="s">
        <v>855</v>
      </c>
      <c r="D8" s="605"/>
      <c r="E8" s="597">
        <v>0</v>
      </c>
      <c r="F8" s="624"/>
      <c r="G8" s="606">
        <f t="shared" si="0"/>
        <v>0</v>
      </c>
      <c r="H8" s="1166"/>
    </row>
    <row r="9" spans="1:8" ht="15.95" customHeight="1" x14ac:dyDescent="0.2">
      <c r="A9" s="750" t="s">
        <v>875</v>
      </c>
      <c r="B9" s="755">
        <f>5080000-211258</f>
        <v>4868742</v>
      </c>
      <c r="C9" s="679" t="s">
        <v>855</v>
      </c>
      <c r="D9" s="605"/>
      <c r="E9" s="635">
        <f>5080000-211258</f>
        <v>4868742</v>
      </c>
      <c r="F9" s="624">
        <f>944874+255116+700000+2337600+631152</f>
        <v>4868742</v>
      </c>
      <c r="G9" s="606">
        <f t="shared" si="0"/>
        <v>4868742</v>
      </c>
      <c r="H9" s="1166"/>
    </row>
    <row r="10" spans="1:8" ht="24" x14ac:dyDescent="0.2">
      <c r="A10" s="750" t="s">
        <v>876</v>
      </c>
      <c r="B10" s="755">
        <f>3725750+34052</f>
        <v>3759802</v>
      </c>
      <c r="C10" s="679" t="s">
        <v>855</v>
      </c>
      <c r="D10" s="728"/>
      <c r="E10" s="635">
        <f>3725750+34052</f>
        <v>3759802</v>
      </c>
      <c r="F10" s="624">
        <f>12992+44441+11999+2081220+561929+101000+423183+114259+86160+319110</f>
        <v>3756293</v>
      </c>
      <c r="G10" s="606">
        <f t="shared" si="0"/>
        <v>3756293</v>
      </c>
      <c r="H10" s="1166"/>
    </row>
    <row r="11" spans="1:8" ht="41.25" customHeight="1" x14ac:dyDescent="0.2">
      <c r="A11" s="751" t="s">
        <v>877</v>
      </c>
      <c r="B11" s="756">
        <f>6350000+9194292</f>
        <v>15544292</v>
      </c>
      <c r="C11" s="598" t="s">
        <v>855</v>
      </c>
      <c r="D11" s="605"/>
      <c r="E11" s="597">
        <f>6350000+9194292</f>
        <v>15544292</v>
      </c>
      <c r="F11" s="624">
        <f>6894380+1861483+3947960+2253532+411480</f>
        <v>15368835</v>
      </c>
      <c r="G11" s="606">
        <f t="shared" si="0"/>
        <v>15368835</v>
      </c>
      <c r="H11" s="1166"/>
    </row>
    <row r="12" spans="1:8" ht="27" customHeight="1" x14ac:dyDescent="0.2">
      <c r="A12" s="750" t="s">
        <v>878</v>
      </c>
      <c r="B12" s="755">
        <f>10000000-104474</f>
        <v>9895526</v>
      </c>
      <c r="C12" s="679" t="s">
        <v>855</v>
      </c>
      <c r="D12" s="605"/>
      <c r="E12" s="635">
        <f>10000000-104474</f>
        <v>9895526</v>
      </c>
      <c r="F12" s="624">
        <f>393002+106112+78740+21260+250000+67500+700000+189000+80000+102941+27794+5213200+1407564+875404+236359+115472+31178</f>
        <v>9895526</v>
      </c>
      <c r="G12" s="606">
        <f t="shared" si="0"/>
        <v>9895526</v>
      </c>
      <c r="H12" s="1166"/>
    </row>
    <row r="13" spans="1:8" ht="15.95" customHeight="1" x14ac:dyDescent="0.2">
      <c r="A13" s="752" t="s">
        <v>879</v>
      </c>
      <c r="B13" s="757">
        <f>1500000+2678898+723303</f>
        <v>4902201</v>
      </c>
      <c r="C13" s="758" t="s">
        <v>855</v>
      </c>
      <c r="D13" s="597"/>
      <c r="E13" s="761">
        <f>1500000+3402201</f>
        <v>4902201</v>
      </c>
      <c r="F13" s="164">
        <v>4902200</v>
      </c>
      <c r="G13" s="606">
        <f t="shared" si="0"/>
        <v>4902200</v>
      </c>
      <c r="H13" s="1166"/>
    </row>
    <row r="14" spans="1:8" x14ac:dyDescent="0.2">
      <c r="A14" s="750" t="s">
        <v>880</v>
      </c>
      <c r="B14" s="755">
        <v>48165993</v>
      </c>
      <c r="C14" s="679" t="s">
        <v>855</v>
      </c>
      <c r="D14" s="597"/>
      <c r="E14" s="635">
        <v>48165993</v>
      </c>
      <c r="F14" s="164">
        <f>4000500+2667000</f>
        <v>6667500</v>
      </c>
      <c r="G14" s="606">
        <f t="shared" si="0"/>
        <v>6667500</v>
      </c>
      <c r="H14" s="1166"/>
    </row>
    <row r="15" spans="1:8" x14ac:dyDescent="0.2">
      <c r="A15" s="753" t="s">
        <v>881</v>
      </c>
      <c r="B15" s="759">
        <v>479353</v>
      </c>
      <c r="C15" s="760" t="s">
        <v>855</v>
      </c>
      <c r="D15" s="635"/>
      <c r="E15" s="762">
        <v>479353</v>
      </c>
      <c r="F15" s="164">
        <f>325197+87803</f>
        <v>413000</v>
      </c>
      <c r="G15" s="606">
        <f t="shared" si="0"/>
        <v>413000</v>
      </c>
      <c r="H15" s="1166"/>
    </row>
    <row r="16" spans="1:8" s="171" customFormat="1" ht="18" customHeight="1" thickBot="1" x14ac:dyDescent="0.25">
      <c r="A16" s="889" t="s">
        <v>882</v>
      </c>
      <c r="B16" s="890">
        <f>609600-354600</f>
        <v>255000</v>
      </c>
      <c r="C16" s="891" t="s">
        <v>855</v>
      </c>
      <c r="D16" s="890"/>
      <c r="E16" s="890">
        <f>609600-354600</f>
        <v>255000</v>
      </c>
      <c r="F16" s="164">
        <v>254999</v>
      </c>
      <c r="G16" s="892">
        <f t="shared" si="0"/>
        <v>254999</v>
      </c>
      <c r="H16" s="1166"/>
    </row>
    <row r="17" spans="1:8" ht="13.5" thickBot="1" x14ac:dyDescent="0.25">
      <c r="A17" s="167" t="s">
        <v>227</v>
      </c>
      <c r="B17" s="168">
        <f>SUM(B5:B16)</f>
        <v>277327466</v>
      </c>
      <c r="C17" s="169"/>
      <c r="D17" s="168">
        <f>SUM(D5:D16)</f>
        <v>1216660</v>
      </c>
      <c r="E17" s="168">
        <f>SUM(E5:E16)</f>
        <v>276110806</v>
      </c>
      <c r="F17" s="168">
        <f>SUM(F5:F16)</f>
        <v>234332492</v>
      </c>
      <c r="G17" s="168">
        <f>SUM(G5:G16)</f>
        <v>235549152</v>
      </c>
      <c r="H17" s="1166"/>
    </row>
  </sheetData>
  <mergeCells count="3">
    <mergeCell ref="F2:G2"/>
    <mergeCell ref="A1:G1"/>
    <mergeCell ref="H1:H17"/>
  </mergeCells>
  <phoneticPr fontId="24" type="noConversion"/>
  <printOptions horizontalCentered="1"/>
  <pageMargins left="0.78740157480314965" right="0.78740157480314965" top="0.98425196850393704" bottom="0.98425196850393704" header="0.78740157480314965" footer="0.78740157480314965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zoomScale="130"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080" customWidth="1"/>
    <col min="2" max="13" width="8.5703125" style="1080" customWidth="1"/>
    <col min="14" max="14" width="3.42578125" style="1080" customWidth="1"/>
    <col min="15" max="256" width="8" style="1080"/>
    <col min="257" max="257" width="24.42578125" style="1080" customWidth="1"/>
    <col min="258" max="269" width="8.5703125" style="1080" customWidth="1"/>
    <col min="270" max="270" width="3.42578125" style="1080" customWidth="1"/>
    <col min="271" max="512" width="8" style="1080"/>
    <col min="513" max="513" width="24.42578125" style="1080" customWidth="1"/>
    <col min="514" max="525" width="8.5703125" style="1080" customWidth="1"/>
    <col min="526" max="526" width="3.42578125" style="1080" customWidth="1"/>
    <col min="527" max="768" width="8" style="1080"/>
    <col min="769" max="769" width="24.42578125" style="1080" customWidth="1"/>
    <col min="770" max="781" width="8.5703125" style="1080" customWidth="1"/>
    <col min="782" max="782" width="3.42578125" style="1080" customWidth="1"/>
    <col min="783" max="1024" width="8" style="1080"/>
    <col min="1025" max="1025" width="24.42578125" style="1080" customWidth="1"/>
    <col min="1026" max="1037" width="8.5703125" style="1080" customWidth="1"/>
    <col min="1038" max="1038" width="3.42578125" style="1080" customWidth="1"/>
    <col min="1039" max="1280" width="8" style="1080"/>
    <col min="1281" max="1281" width="24.42578125" style="1080" customWidth="1"/>
    <col min="1282" max="1293" width="8.5703125" style="1080" customWidth="1"/>
    <col min="1294" max="1294" width="3.42578125" style="1080" customWidth="1"/>
    <col min="1295" max="1536" width="8" style="1080"/>
    <col min="1537" max="1537" width="24.42578125" style="1080" customWidth="1"/>
    <col min="1538" max="1549" width="8.5703125" style="1080" customWidth="1"/>
    <col min="1550" max="1550" width="3.42578125" style="1080" customWidth="1"/>
    <col min="1551" max="1792" width="8" style="1080"/>
    <col min="1793" max="1793" width="24.42578125" style="1080" customWidth="1"/>
    <col min="1794" max="1805" width="8.5703125" style="1080" customWidth="1"/>
    <col min="1806" max="1806" width="3.42578125" style="1080" customWidth="1"/>
    <col min="1807" max="2048" width="8" style="1080"/>
    <col min="2049" max="2049" width="24.42578125" style="1080" customWidth="1"/>
    <col min="2050" max="2061" width="8.5703125" style="1080" customWidth="1"/>
    <col min="2062" max="2062" width="3.42578125" style="1080" customWidth="1"/>
    <col min="2063" max="2304" width="8" style="1080"/>
    <col min="2305" max="2305" width="24.42578125" style="1080" customWidth="1"/>
    <col min="2306" max="2317" width="8.5703125" style="1080" customWidth="1"/>
    <col min="2318" max="2318" width="3.42578125" style="1080" customWidth="1"/>
    <col min="2319" max="2560" width="8" style="1080"/>
    <col min="2561" max="2561" width="24.42578125" style="1080" customWidth="1"/>
    <col min="2562" max="2573" width="8.5703125" style="1080" customWidth="1"/>
    <col min="2574" max="2574" width="3.42578125" style="1080" customWidth="1"/>
    <col min="2575" max="2816" width="8" style="1080"/>
    <col min="2817" max="2817" width="24.42578125" style="1080" customWidth="1"/>
    <col min="2818" max="2829" width="8.5703125" style="1080" customWidth="1"/>
    <col min="2830" max="2830" width="3.42578125" style="1080" customWidth="1"/>
    <col min="2831" max="3072" width="8" style="1080"/>
    <col min="3073" max="3073" width="24.42578125" style="1080" customWidth="1"/>
    <col min="3074" max="3085" width="8.5703125" style="1080" customWidth="1"/>
    <col min="3086" max="3086" width="3.42578125" style="1080" customWidth="1"/>
    <col min="3087" max="3328" width="8" style="1080"/>
    <col min="3329" max="3329" width="24.42578125" style="1080" customWidth="1"/>
    <col min="3330" max="3341" width="8.5703125" style="1080" customWidth="1"/>
    <col min="3342" max="3342" width="3.42578125" style="1080" customWidth="1"/>
    <col min="3343" max="3584" width="8" style="1080"/>
    <col min="3585" max="3585" width="24.42578125" style="1080" customWidth="1"/>
    <col min="3586" max="3597" width="8.5703125" style="1080" customWidth="1"/>
    <col min="3598" max="3598" width="3.42578125" style="1080" customWidth="1"/>
    <col min="3599" max="3840" width="8" style="1080"/>
    <col min="3841" max="3841" width="24.42578125" style="1080" customWidth="1"/>
    <col min="3842" max="3853" width="8.5703125" style="1080" customWidth="1"/>
    <col min="3854" max="3854" width="3.42578125" style="1080" customWidth="1"/>
    <col min="3855" max="4096" width="8" style="1080"/>
    <col min="4097" max="4097" width="24.42578125" style="1080" customWidth="1"/>
    <col min="4098" max="4109" width="8.5703125" style="1080" customWidth="1"/>
    <col min="4110" max="4110" width="3.42578125" style="1080" customWidth="1"/>
    <col min="4111" max="4352" width="8" style="1080"/>
    <col min="4353" max="4353" width="24.42578125" style="1080" customWidth="1"/>
    <col min="4354" max="4365" width="8.5703125" style="1080" customWidth="1"/>
    <col min="4366" max="4366" width="3.42578125" style="1080" customWidth="1"/>
    <col min="4367" max="4608" width="8" style="1080"/>
    <col min="4609" max="4609" width="24.42578125" style="1080" customWidth="1"/>
    <col min="4610" max="4621" width="8.5703125" style="1080" customWidth="1"/>
    <col min="4622" max="4622" width="3.42578125" style="1080" customWidth="1"/>
    <col min="4623" max="4864" width="8" style="1080"/>
    <col min="4865" max="4865" width="24.42578125" style="1080" customWidth="1"/>
    <col min="4866" max="4877" width="8.5703125" style="1080" customWidth="1"/>
    <col min="4878" max="4878" width="3.42578125" style="1080" customWidth="1"/>
    <col min="4879" max="5120" width="8" style="1080"/>
    <col min="5121" max="5121" width="24.42578125" style="1080" customWidth="1"/>
    <col min="5122" max="5133" width="8.5703125" style="1080" customWidth="1"/>
    <col min="5134" max="5134" width="3.42578125" style="1080" customWidth="1"/>
    <col min="5135" max="5376" width="8" style="1080"/>
    <col min="5377" max="5377" width="24.42578125" style="1080" customWidth="1"/>
    <col min="5378" max="5389" width="8.5703125" style="1080" customWidth="1"/>
    <col min="5390" max="5390" width="3.42578125" style="1080" customWidth="1"/>
    <col min="5391" max="5632" width="8" style="1080"/>
    <col min="5633" max="5633" width="24.42578125" style="1080" customWidth="1"/>
    <col min="5634" max="5645" width="8.5703125" style="1080" customWidth="1"/>
    <col min="5646" max="5646" width="3.42578125" style="1080" customWidth="1"/>
    <col min="5647" max="5888" width="8" style="1080"/>
    <col min="5889" max="5889" width="24.42578125" style="1080" customWidth="1"/>
    <col min="5890" max="5901" width="8.5703125" style="1080" customWidth="1"/>
    <col min="5902" max="5902" width="3.42578125" style="1080" customWidth="1"/>
    <col min="5903" max="6144" width="8" style="1080"/>
    <col min="6145" max="6145" width="24.42578125" style="1080" customWidth="1"/>
    <col min="6146" max="6157" width="8.5703125" style="1080" customWidth="1"/>
    <col min="6158" max="6158" width="3.42578125" style="1080" customWidth="1"/>
    <col min="6159" max="6400" width="8" style="1080"/>
    <col min="6401" max="6401" width="24.42578125" style="1080" customWidth="1"/>
    <col min="6402" max="6413" width="8.5703125" style="1080" customWidth="1"/>
    <col min="6414" max="6414" width="3.42578125" style="1080" customWidth="1"/>
    <col min="6415" max="6656" width="8" style="1080"/>
    <col min="6657" max="6657" width="24.42578125" style="1080" customWidth="1"/>
    <col min="6658" max="6669" width="8.5703125" style="1080" customWidth="1"/>
    <col min="6670" max="6670" width="3.42578125" style="1080" customWidth="1"/>
    <col min="6671" max="6912" width="8" style="1080"/>
    <col min="6913" max="6913" width="24.42578125" style="1080" customWidth="1"/>
    <col min="6914" max="6925" width="8.5703125" style="1080" customWidth="1"/>
    <col min="6926" max="6926" width="3.42578125" style="1080" customWidth="1"/>
    <col min="6927" max="7168" width="8" style="1080"/>
    <col min="7169" max="7169" width="24.42578125" style="1080" customWidth="1"/>
    <col min="7170" max="7181" width="8.5703125" style="1080" customWidth="1"/>
    <col min="7182" max="7182" width="3.42578125" style="1080" customWidth="1"/>
    <col min="7183" max="7424" width="8" style="1080"/>
    <col min="7425" max="7425" width="24.42578125" style="1080" customWidth="1"/>
    <col min="7426" max="7437" width="8.5703125" style="1080" customWidth="1"/>
    <col min="7438" max="7438" width="3.42578125" style="1080" customWidth="1"/>
    <col min="7439" max="7680" width="8" style="1080"/>
    <col min="7681" max="7681" width="24.42578125" style="1080" customWidth="1"/>
    <col min="7682" max="7693" width="8.5703125" style="1080" customWidth="1"/>
    <col min="7694" max="7694" width="3.42578125" style="1080" customWidth="1"/>
    <col min="7695" max="7936" width="8" style="1080"/>
    <col min="7937" max="7937" width="24.42578125" style="1080" customWidth="1"/>
    <col min="7938" max="7949" width="8.5703125" style="1080" customWidth="1"/>
    <col min="7950" max="7950" width="3.42578125" style="1080" customWidth="1"/>
    <col min="7951" max="8192" width="8" style="1080"/>
    <col min="8193" max="8193" width="24.42578125" style="1080" customWidth="1"/>
    <col min="8194" max="8205" width="8.5703125" style="1080" customWidth="1"/>
    <col min="8206" max="8206" width="3.42578125" style="1080" customWidth="1"/>
    <col min="8207" max="8448" width="8" style="1080"/>
    <col min="8449" max="8449" width="24.42578125" style="1080" customWidth="1"/>
    <col min="8450" max="8461" width="8.5703125" style="1080" customWidth="1"/>
    <col min="8462" max="8462" width="3.42578125" style="1080" customWidth="1"/>
    <col min="8463" max="8704" width="8" style="1080"/>
    <col min="8705" max="8705" width="24.42578125" style="1080" customWidth="1"/>
    <col min="8706" max="8717" width="8.5703125" style="1080" customWidth="1"/>
    <col min="8718" max="8718" width="3.42578125" style="1080" customWidth="1"/>
    <col min="8719" max="8960" width="8" style="1080"/>
    <col min="8961" max="8961" width="24.42578125" style="1080" customWidth="1"/>
    <col min="8962" max="8973" width="8.5703125" style="1080" customWidth="1"/>
    <col min="8974" max="8974" width="3.42578125" style="1080" customWidth="1"/>
    <col min="8975" max="9216" width="8" style="1080"/>
    <col min="9217" max="9217" width="24.42578125" style="1080" customWidth="1"/>
    <col min="9218" max="9229" width="8.5703125" style="1080" customWidth="1"/>
    <col min="9230" max="9230" width="3.42578125" style="1080" customWidth="1"/>
    <col min="9231" max="9472" width="8" style="1080"/>
    <col min="9473" max="9473" width="24.42578125" style="1080" customWidth="1"/>
    <col min="9474" max="9485" width="8.5703125" style="1080" customWidth="1"/>
    <col min="9486" max="9486" width="3.42578125" style="1080" customWidth="1"/>
    <col min="9487" max="9728" width="8" style="1080"/>
    <col min="9729" max="9729" width="24.42578125" style="1080" customWidth="1"/>
    <col min="9730" max="9741" width="8.5703125" style="1080" customWidth="1"/>
    <col min="9742" max="9742" width="3.42578125" style="1080" customWidth="1"/>
    <col min="9743" max="9984" width="8" style="1080"/>
    <col min="9985" max="9985" width="24.42578125" style="1080" customWidth="1"/>
    <col min="9986" max="9997" width="8.5703125" style="1080" customWidth="1"/>
    <col min="9998" max="9998" width="3.42578125" style="1080" customWidth="1"/>
    <col min="9999" max="10240" width="8" style="1080"/>
    <col min="10241" max="10241" width="24.42578125" style="1080" customWidth="1"/>
    <col min="10242" max="10253" width="8.5703125" style="1080" customWidth="1"/>
    <col min="10254" max="10254" width="3.42578125" style="1080" customWidth="1"/>
    <col min="10255" max="10496" width="8" style="1080"/>
    <col min="10497" max="10497" width="24.42578125" style="1080" customWidth="1"/>
    <col min="10498" max="10509" width="8.5703125" style="1080" customWidth="1"/>
    <col min="10510" max="10510" width="3.42578125" style="1080" customWidth="1"/>
    <col min="10511" max="10752" width="8" style="1080"/>
    <col min="10753" max="10753" width="24.42578125" style="1080" customWidth="1"/>
    <col min="10754" max="10765" width="8.5703125" style="1080" customWidth="1"/>
    <col min="10766" max="10766" width="3.42578125" style="1080" customWidth="1"/>
    <col min="10767" max="11008" width="8" style="1080"/>
    <col min="11009" max="11009" width="24.42578125" style="1080" customWidth="1"/>
    <col min="11010" max="11021" width="8.5703125" style="1080" customWidth="1"/>
    <col min="11022" max="11022" width="3.42578125" style="1080" customWidth="1"/>
    <col min="11023" max="11264" width="8" style="1080"/>
    <col min="11265" max="11265" width="24.42578125" style="1080" customWidth="1"/>
    <col min="11266" max="11277" width="8.5703125" style="1080" customWidth="1"/>
    <col min="11278" max="11278" width="3.42578125" style="1080" customWidth="1"/>
    <col min="11279" max="11520" width="8" style="1080"/>
    <col min="11521" max="11521" width="24.42578125" style="1080" customWidth="1"/>
    <col min="11522" max="11533" width="8.5703125" style="1080" customWidth="1"/>
    <col min="11534" max="11534" width="3.42578125" style="1080" customWidth="1"/>
    <col min="11535" max="11776" width="8" style="1080"/>
    <col min="11777" max="11777" width="24.42578125" style="1080" customWidth="1"/>
    <col min="11778" max="11789" width="8.5703125" style="1080" customWidth="1"/>
    <col min="11790" max="11790" width="3.42578125" style="1080" customWidth="1"/>
    <col min="11791" max="12032" width="8" style="1080"/>
    <col min="12033" max="12033" width="24.42578125" style="1080" customWidth="1"/>
    <col min="12034" max="12045" width="8.5703125" style="1080" customWidth="1"/>
    <col min="12046" max="12046" width="3.42578125" style="1080" customWidth="1"/>
    <col min="12047" max="12288" width="8" style="1080"/>
    <col min="12289" max="12289" width="24.42578125" style="1080" customWidth="1"/>
    <col min="12290" max="12301" width="8.5703125" style="1080" customWidth="1"/>
    <col min="12302" max="12302" width="3.42578125" style="1080" customWidth="1"/>
    <col min="12303" max="12544" width="8" style="1080"/>
    <col min="12545" max="12545" width="24.42578125" style="1080" customWidth="1"/>
    <col min="12546" max="12557" width="8.5703125" style="1080" customWidth="1"/>
    <col min="12558" max="12558" width="3.42578125" style="1080" customWidth="1"/>
    <col min="12559" max="12800" width="8" style="1080"/>
    <col min="12801" max="12801" width="24.42578125" style="1080" customWidth="1"/>
    <col min="12802" max="12813" width="8.5703125" style="1080" customWidth="1"/>
    <col min="12814" max="12814" width="3.42578125" style="1080" customWidth="1"/>
    <col min="12815" max="13056" width="8" style="1080"/>
    <col min="13057" max="13057" width="24.42578125" style="1080" customWidth="1"/>
    <col min="13058" max="13069" width="8.5703125" style="1080" customWidth="1"/>
    <col min="13070" max="13070" width="3.42578125" style="1080" customWidth="1"/>
    <col min="13071" max="13312" width="8" style="1080"/>
    <col min="13313" max="13313" width="24.42578125" style="1080" customWidth="1"/>
    <col min="13314" max="13325" width="8.5703125" style="1080" customWidth="1"/>
    <col min="13326" max="13326" width="3.42578125" style="1080" customWidth="1"/>
    <col min="13327" max="13568" width="8" style="1080"/>
    <col min="13569" max="13569" width="24.42578125" style="1080" customWidth="1"/>
    <col min="13570" max="13581" width="8.5703125" style="1080" customWidth="1"/>
    <col min="13582" max="13582" width="3.42578125" style="1080" customWidth="1"/>
    <col min="13583" max="13824" width="8" style="1080"/>
    <col min="13825" max="13825" width="24.42578125" style="1080" customWidth="1"/>
    <col min="13826" max="13837" width="8.5703125" style="1080" customWidth="1"/>
    <col min="13838" max="13838" width="3.42578125" style="1080" customWidth="1"/>
    <col min="13839" max="14080" width="8" style="1080"/>
    <col min="14081" max="14081" width="24.42578125" style="1080" customWidth="1"/>
    <col min="14082" max="14093" width="8.5703125" style="1080" customWidth="1"/>
    <col min="14094" max="14094" width="3.42578125" style="1080" customWidth="1"/>
    <col min="14095" max="14336" width="8" style="1080"/>
    <col min="14337" max="14337" width="24.42578125" style="1080" customWidth="1"/>
    <col min="14338" max="14349" width="8.5703125" style="1080" customWidth="1"/>
    <col min="14350" max="14350" width="3.42578125" style="1080" customWidth="1"/>
    <col min="14351" max="14592" width="8" style="1080"/>
    <col min="14593" max="14593" width="24.42578125" style="1080" customWidth="1"/>
    <col min="14594" max="14605" width="8.5703125" style="1080" customWidth="1"/>
    <col min="14606" max="14606" width="3.42578125" style="1080" customWidth="1"/>
    <col min="14607" max="14848" width="8" style="1080"/>
    <col min="14849" max="14849" width="24.42578125" style="1080" customWidth="1"/>
    <col min="14850" max="14861" width="8.5703125" style="1080" customWidth="1"/>
    <col min="14862" max="14862" width="3.42578125" style="1080" customWidth="1"/>
    <col min="14863" max="15104" width="8" style="1080"/>
    <col min="15105" max="15105" width="24.42578125" style="1080" customWidth="1"/>
    <col min="15106" max="15117" width="8.5703125" style="1080" customWidth="1"/>
    <col min="15118" max="15118" width="3.42578125" style="1080" customWidth="1"/>
    <col min="15119" max="15360" width="8" style="1080"/>
    <col min="15361" max="15361" width="24.42578125" style="1080" customWidth="1"/>
    <col min="15362" max="15373" width="8.5703125" style="1080" customWidth="1"/>
    <col min="15374" max="15374" width="3.42578125" style="1080" customWidth="1"/>
    <col min="15375" max="15616" width="8" style="1080"/>
    <col min="15617" max="15617" width="24.42578125" style="1080" customWidth="1"/>
    <col min="15618" max="15629" width="8.5703125" style="1080" customWidth="1"/>
    <col min="15630" max="15630" width="3.42578125" style="1080" customWidth="1"/>
    <col min="15631" max="15872" width="8" style="1080"/>
    <col min="15873" max="15873" width="24.42578125" style="1080" customWidth="1"/>
    <col min="15874" max="15885" width="8.5703125" style="1080" customWidth="1"/>
    <col min="15886" max="15886" width="3.42578125" style="1080" customWidth="1"/>
    <col min="15887" max="16128" width="8" style="1080"/>
    <col min="16129" max="16129" width="24.42578125" style="1080" customWidth="1"/>
    <col min="16130" max="16141" width="8.5703125" style="1080" customWidth="1"/>
    <col min="16142" max="16142" width="3.42578125" style="1080" customWidth="1"/>
    <col min="16143" max="16384" width="8" style="1080"/>
  </cols>
  <sheetData>
    <row r="1" spans="1:14" ht="39.75" customHeight="1" x14ac:dyDescent="0.2">
      <c r="A1" s="1167" t="s">
        <v>782</v>
      </c>
      <c r="B1" s="1167"/>
      <c r="C1" s="1167"/>
      <c r="D1" s="1168" t="s">
        <v>783</v>
      </c>
      <c r="E1" s="1169"/>
      <c r="F1" s="1169"/>
      <c r="G1" s="1169"/>
      <c r="H1" s="1169"/>
      <c r="I1" s="1169"/>
      <c r="J1" s="1169"/>
      <c r="K1" s="1169"/>
      <c r="L1" s="1169"/>
      <c r="M1" s="1169"/>
      <c r="N1" s="1170" t="s">
        <v>823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21.75" thickBot="1" x14ac:dyDescent="0.25">
      <c r="A5" s="1174"/>
      <c r="B5" s="1179"/>
      <c r="C5" s="1180"/>
      <c r="D5" s="1081" t="s">
        <v>222</v>
      </c>
      <c r="E5" s="1081" t="s">
        <v>223</v>
      </c>
      <c r="F5" s="1081" t="s">
        <v>222</v>
      </c>
      <c r="G5" s="1081" t="s">
        <v>223</v>
      </c>
      <c r="H5" s="1081" t="s">
        <v>222</v>
      </c>
      <c r="I5" s="1081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1082" t="str">
        <f>+D6</f>
        <v>2018. előtt</v>
      </c>
      <c r="K6" s="1081" t="str">
        <f>+F6</f>
        <v>2018. évi</v>
      </c>
      <c r="L6" s="1082" t="s">
        <v>248</v>
      </c>
      <c r="M6" s="1081" t="s">
        <v>804</v>
      </c>
      <c r="N6" s="1170"/>
    </row>
    <row r="7" spans="1:14" ht="13.5" thickBot="1" x14ac:dyDescent="0.25">
      <c r="A7" s="1083" t="s">
        <v>446</v>
      </c>
      <c r="B7" s="1082" t="s">
        <v>447</v>
      </c>
      <c r="C7" s="1082" t="s">
        <v>448</v>
      </c>
      <c r="D7" s="1084" t="s">
        <v>449</v>
      </c>
      <c r="E7" s="1081" t="s">
        <v>450</v>
      </c>
      <c r="F7" s="1081" t="s">
        <v>635</v>
      </c>
      <c r="G7" s="1081" t="s">
        <v>636</v>
      </c>
      <c r="H7" s="1082" t="s">
        <v>637</v>
      </c>
      <c r="I7" s="1084" t="s">
        <v>638</v>
      </c>
      <c r="J7" s="1084" t="s">
        <v>670</v>
      </c>
      <c r="K7" s="1084" t="s">
        <v>671</v>
      </c>
      <c r="L7" s="1084" t="s">
        <v>672</v>
      </c>
      <c r="M7" s="1085" t="s">
        <v>673</v>
      </c>
      <c r="N7" s="1170"/>
    </row>
    <row r="8" spans="1:14" x14ac:dyDescent="0.2">
      <c r="A8" s="1086" t="s">
        <v>203</v>
      </c>
      <c r="B8" s="1087"/>
      <c r="C8" s="1088"/>
      <c r="D8" s="1088"/>
      <c r="E8" s="1089"/>
      <c r="F8" s="1088"/>
      <c r="G8" s="1088"/>
      <c r="H8" s="1088"/>
      <c r="I8" s="1088"/>
      <c r="J8" s="1088"/>
      <c r="K8" s="1088"/>
      <c r="L8" s="1090">
        <f t="shared" ref="L8:L14" si="0">+J8+K8</f>
        <v>0</v>
      </c>
      <c r="M8" s="1091" t="str">
        <f t="shared" ref="M8:M15" si="1">IF((C8&lt;&gt;0),ROUND((L8/C8)*100,1),"")</f>
        <v/>
      </c>
      <c r="N8" s="1170"/>
    </row>
    <row r="9" spans="1:14" x14ac:dyDescent="0.2">
      <c r="A9" s="1092" t="s">
        <v>206</v>
      </c>
      <c r="B9" s="1093"/>
      <c r="C9" s="1094"/>
      <c r="D9" s="1094"/>
      <c r="E9" s="1094"/>
      <c r="F9" s="1094"/>
      <c r="G9" s="1094"/>
      <c r="H9" s="1094"/>
      <c r="I9" s="1094"/>
      <c r="J9" s="1094"/>
      <c r="K9" s="1094"/>
      <c r="L9" s="1095">
        <f t="shared" si="0"/>
        <v>0</v>
      </c>
      <c r="M9" s="1096" t="str">
        <f t="shared" si="1"/>
        <v/>
      </c>
      <c r="N9" s="1170"/>
    </row>
    <row r="10" spans="1:14" x14ac:dyDescent="0.2">
      <c r="A10" s="1097" t="s">
        <v>207</v>
      </c>
      <c r="B10" s="1098">
        <v>74946705</v>
      </c>
      <c r="C10" s="1099">
        <v>74946705</v>
      </c>
      <c r="D10" s="1099">
        <v>71149405</v>
      </c>
      <c r="E10" s="1099">
        <v>71149408</v>
      </c>
      <c r="F10" s="1099">
        <v>3796748</v>
      </c>
      <c r="G10" s="1099">
        <v>0</v>
      </c>
      <c r="H10" s="1099">
        <v>3796748</v>
      </c>
      <c r="I10" s="1099">
        <v>3796748</v>
      </c>
      <c r="J10" s="1099">
        <v>71149408</v>
      </c>
      <c r="K10" s="1099"/>
      <c r="L10" s="1095">
        <v>71149408</v>
      </c>
      <c r="M10" s="1096">
        <f t="shared" si="1"/>
        <v>94.9</v>
      </c>
      <c r="N10" s="1170"/>
    </row>
    <row r="11" spans="1:14" x14ac:dyDescent="0.2">
      <c r="A11" s="1097" t="s">
        <v>208</v>
      </c>
      <c r="B11" s="1098"/>
      <c r="C11" s="1099"/>
      <c r="D11" s="1099"/>
      <c r="E11" s="1099"/>
      <c r="F11" s="1099"/>
      <c r="G11" s="1099"/>
      <c r="H11" s="1099"/>
      <c r="I11" s="1099"/>
      <c r="J11" s="1099"/>
      <c r="K11" s="1099"/>
      <c r="L11" s="1095"/>
      <c r="M11" s="1096" t="str">
        <f t="shared" si="1"/>
        <v/>
      </c>
      <c r="N11" s="1170"/>
    </row>
    <row r="12" spans="1:14" x14ac:dyDescent="0.2">
      <c r="A12" s="1097" t="s">
        <v>209</v>
      </c>
      <c r="B12" s="1098"/>
      <c r="C12" s="1099"/>
      <c r="D12" s="1099"/>
      <c r="E12" s="1099"/>
      <c r="F12" s="1099"/>
      <c r="G12" s="1099"/>
      <c r="H12" s="1099"/>
      <c r="I12" s="1099"/>
      <c r="J12" s="1099"/>
      <c r="K12" s="1099"/>
      <c r="L12" s="1095">
        <f t="shared" si="0"/>
        <v>0</v>
      </c>
      <c r="M12" s="1096" t="str">
        <f t="shared" si="1"/>
        <v/>
      </c>
      <c r="N12" s="1170"/>
    </row>
    <row r="13" spans="1:14" x14ac:dyDescent="0.2">
      <c r="A13" s="1097" t="s">
        <v>210</v>
      </c>
      <c r="B13" s="1098"/>
      <c r="C13" s="1099"/>
      <c r="D13" s="1099"/>
      <c r="E13" s="1099"/>
      <c r="F13" s="1099"/>
      <c r="G13" s="1099"/>
      <c r="H13" s="1099"/>
      <c r="I13" s="1099"/>
      <c r="J13" s="1099"/>
      <c r="K13" s="1099"/>
      <c r="L13" s="1095">
        <f t="shared" si="0"/>
        <v>0</v>
      </c>
      <c r="M13" s="1096" t="str">
        <f t="shared" si="1"/>
        <v/>
      </c>
      <c r="N13" s="1170"/>
    </row>
    <row r="14" spans="1:14" ht="15" customHeight="1" thickBot="1" x14ac:dyDescent="0.25">
      <c r="A14" s="1100"/>
      <c r="B14" s="1101"/>
      <c r="C14" s="1102"/>
      <c r="D14" s="1102"/>
      <c r="E14" s="1102"/>
      <c r="F14" s="1102"/>
      <c r="G14" s="1102"/>
      <c r="H14" s="1102"/>
      <c r="I14" s="1102"/>
      <c r="J14" s="1102"/>
      <c r="K14" s="1102"/>
      <c r="L14" s="1095">
        <f t="shared" si="0"/>
        <v>0</v>
      </c>
      <c r="M14" s="1103" t="str">
        <f t="shared" si="1"/>
        <v/>
      </c>
      <c r="N14" s="1170"/>
    </row>
    <row r="15" spans="1:14" ht="13.5" thickBot="1" x14ac:dyDescent="0.25">
      <c r="A15" s="1104" t="s">
        <v>211</v>
      </c>
      <c r="B15" s="1105">
        <f t="shared" ref="B15:L15" si="2">B8+SUM(B10:B14)</f>
        <v>74946705</v>
      </c>
      <c r="C15" s="1105">
        <f t="shared" si="2"/>
        <v>74946705</v>
      </c>
      <c r="D15" s="1105">
        <f t="shared" si="2"/>
        <v>71149405</v>
      </c>
      <c r="E15" s="1105">
        <f t="shared" si="2"/>
        <v>71149408</v>
      </c>
      <c r="F15" s="1105">
        <f t="shared" si="2"/>
        <v>3796748</v>
      </c>
      <c r="G15" s="1105">
        <f t="shared" si="2"/>
        <v>0</v>
      </c>
      <c r="H15" s="1105">
        <f t="shared" si="2"/>
        <v>3796748</v>
      </c>
      <c r="I15" s="1105">
        <f t="shared" si="2"/>
        <v>3796748</v>
      </c>
      <c r="J15" s="1105">
        <f t="shared" si="2"/>
        <v>71149408</v>
      </c>
      <c r="K15" s="1105">
        <f t="shared" si="2"/>
        <v>0</v>
      </c>
      <c r="L15" s="1105">
        <f t="shared" si="2"/>
        <v>71149408</v>
      </c>
      <c r="M15" s="1106">
        <f t="shared" si="1"/>
        <v>94.9</v>
      </c>
      <c r="N15" s="1170"/>
    </row>
    <row r="16" spans="1:14" x14ac:dyDescent="0.2">
      <c r="A16" s="1107"/>
      <c r="B16" s="1108"/>
      <c r="C16" s="1109"/>
      <c r="D16" s="1109"/>
      <c r="E16" s="1109"/>
      <c r="F16" s="1109"/>
      <c r="G16" s="1109"/>
      <c r="H16" s="1109"/>
      <c r="I16" s="1109"/>
      <c r="J16" s="1109"/>
      <c r="K16" s="1109"/>
      <c r="L16" s="1109"/>
      <c r="M16" s="1109"/>
      <c r="N16" s="1170"/>
    </row>
    <row r="17" spans="1:14" ht="13.5" thickBot="1" x14ac:dyDescent="0.25">
      <c r="A17" s="1110" t="s">
        <v>212</v>
      </c>
      <c r="B17" s="1111"/>
      <c r="C17" s="1112"/>
      <c r="D17" s="1112"/>
      <c r="E17" s="1112"/>
      <c r="F17" s="1112"/>
      <c r="G17" s="1112"/>
      <c r="H17" s="1112"/>
      <c r="I17" s="1112"/>
      <c r="J17" s="1112"/>
      <c r="K17" s="1112"/>
      <c r="L17" s="1112"/>
      <c r="M17" s="1112"/>
      <c r="N17" s="1170"/>
    </row>
    <row r="18" spans="1:14" x14ac:dyDescent="0.2">
      <c r="A18" s="1113" t="s">
        <v>213</v>
      </c>
      <c r="B18" s="1087"/>
      <c r="C18" s="1088"/>
      <c r="D18" s="1088"/>
      <c r="E18" s="1089"/>
      <c r="F18" s="1088"/>
      <c r="G18" s="1088"/>
      <c r="H18" s="1088"/>
      <c r="I18" s="1088"/>
      <c r="J18" s="1088"/>
      <c r="K18" s="1088"/>
      <c r="L18" s="1114">
        <f t="shared" ref="L18:L23" si="3">+J18+K18</f>
        <v>0</v>
      </c>
      <c r="M18" s="1091" t="str">
        <f t="shared" ref="M18:M24" si="4">IF((C18&lt;&gt;0),ROUND((L18/C18)*100,1),"")</f>
        <v/>
      </c>
      <c r="N18" s="1170"/>
    </row>
    <row r="19" spans="1:14" x14ac:dyDescent="0.2">
      <c r="A19" s="1115" t="s">
        <v>214</v>
      </c>
      <c r="B19" s="1093">
        <v>4316707</v>
      </c>
      <c r="C19" s="1099">
        <v>4316707</v>
      </c>
      <c r="D19" s="1099">
        <v>4316707</v>
      </c>
      <c r="E19" s="1099">
        <v>4316707</v>
      </c>
      <c r="F19" s="1099"/>
      <c r="G19" s="1099"/>
      <c r="H19" s="1099"/>
      <c r="I19" s="1099"/>
      <c r="J19" s="1099">
        <v>4114102</v>
      </c>
      <c r="K19" s="1099"/>
      <c r="L19" s="1116">
        <v>4114102</v>
      </c>
      <c r="M19" s="1096">
        <f t="shared" si="4"/>
        <v>95.3</v>
      </c>
      <c r="N19" s="1170"/>
    </row>
    <row r="20" spans="1:14" x14ac:dyDescent="0.2">
      <c r="A20" s="1115" t="s">
        <v>215</v>
      </c>
      <c r="B20" s="1098">
        <v>70629998</v>
      </c>
      <c r="C20" s="1099">
        <v>70629998</v>
      </c>
      <c r="D20" s="1099">
        <v>70629998</v>
      </c>
      <c r="E20" s="1099">
        <v>70629998</v>
      </c>
      <c r="F20" s="1099"/>
      <c r="G20" s="1099"/>
      <c r="H20" s="1099"/>
      <c r="I20" s="1099"/>
      <c r="J20" s="1099">
        <v>70832051</v>
      </c>
      <c r="K20" s="1099"/>
      <c r="L20" s="1116">
        <v>70832051</v>
      </c>
      <c r="M20" s="1096">
        <f t="shared" si="4"/>
        <v>100.3</v>
      </c>
      <c r="N20" s="1170"/>
    </row>
    <row r="21" spans="1:14" x14ac:dyDescent="0.2">
      <c r="A21" s="1115" t="s">
        <v>216</v>
      </c>
      <c r="B21" s="1098"/>
      <c r="C21" s="1099"/>
      <c r="D21" s="1099"/>
      <c r="E21" s="1099"/>
      <c r="F21" s="1099"/>
      <c r="G21" s="1099"/>
      <c r="H21" s="1099"/>
      <c r="I21" s="1099"/>
      <c r="J21" s="1099"/>
      <c r="K21" s="1099"/>
      <c r="L21" s="1116"/>
      <c r="M21" s="1096" t="str">
        <f t="shared" si="4"/>
        <v/>
      </c>
      <c r="N21" s="1170"/>
    </row>
    <row r="22" spans="1:14" x14ac:dyDescent="0.2">
      <c r="A22" s="1117"/>
      <c r="B22" s="1098"/>
      <c r="C22" s="1099"/>
      <c r="D22" s="1099"/>
      <c r="E22" s="1099"/>
      <c r="F22" s="1099"/>
      <c r="G22" s="1099"/>
      <c r="H22" s="1099"/>
      <c r="I22" s="1099"/>
      <c r="J22" s="1099"/>
      <c r="K22" s="1099"/>
      <c r="L22" s="1116">
        <f t="shared" si="3"/>
        <v>0</v>
      </c>
      <c r="M22" s="1096" t="str">
        <f t="shared" si="4"/>
        <v/>
      </c>
      <c r="N22" s="1170"/>
    </row>
    <row r="23" spans="1:14" ht="13.5" thickBot="1" x14ac:dyDescent="0.25">
      <c r="A23" s="1118"/>
      <c r="B23" s="1101"/>
      <c r="C23" s="1102"/>
      <c r="D23" s="1102"/>
      <c r="E23" s="1102"/>
      <c r="F23" s="1102"/>
      <c r="G23" s="1102"/>
      <c r="H23" s="1102"/>
      <c r="I23" s="1102"/>
      <c r="J23" s="1102"/>
      <c r="K23" s="1102"/>
      <c r="L23" s="1116">
        <f t="shared" si="3"/>
        <v>0</v>
      </c>
      <c r="M23" s="1103" t="str">
        <f t="shared" si="4"/>
        <v/>
      </c>
      <c r="N23" s="1170"/>
    </row>
    <row r="24" spans="1:14" ht="13.5" thickBot="1" x14ac:dyDescent="0.25">
      <c r="A24" s="1119" t="s">
        <v>218</v>
      </c>
      <c r="B24" s="1105">
        <f t="shared" ref="B24:L24" si="5">SUM(B18:B23)</f>
        <v>74946705</v>
      </c>
      <c r="C24" s="1105">
        <f t="shared" si="5"/>
        <v>74946705</v>
      </c>
      <c r="D24" s="1105">
        <f t="shared" si="5"/>
        <v>74946705</v>
      </c>
      <c r="E24" s="1105">
        <f t="shared" si="5"/>
        <v>74946705</v>
      </c>
      <c r="F24" s="1105">
        <f t="shared" si="5"/>
        <v>0</v>
      </c>
      <c r="G24" s="1105">
        <f t="shared" si="5"/>
        <v>0</v>
      </c>
      <c r="H24" s="1105">
        <f t="shared" si="5"/>
        <v>0</v>
      </c>
      <c r="I24" s="1105">
        <f t="shared" si="5"/>
        <v>0</v>
      </c>
      <c r="J24" s="1105">
        <f t="shared" si="5"/>
        <v>74946153</v>
      </c>
      <c r="K24" s="1105">
        <f t="shared" si="5"/>
        <v>0</v>
      </c>
      <c r="L24" s="1105">
        <f t="shared" si="5"/>
        <v>74946153</v>
      </c>
      <c r="M24" s="1106">
        <f t="shared" si="4"/>
        <v>100</v>
      </c>
      <c r="N24" s="1170"/>
    </row>
    <row r="25" spans="1:14" x14ac:dyDescent="0.2">
      <c r="A25" s="1186" t="s">
        <v>674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1120"/>
      <c r="B26" s="1120"/>
      <c r="C26" s="1120"/>
      <c r="D26" s="1120"/>
      <c r="E26" s="1120"/>
      <c r="F26" s="1120"/>
      <c r="G26" s="1120"/>
      <c r="H26" s="1120"/>
      <c r="I26" s="1120"/>
      <c r="J26" s="1120"/>
      <c r="K26" s="1120"/>
      <c r="L26" s="1120"/>
      <c r="M26" s="1120"/>
      <c r="N26" s="1170"/>
    </row>
    <row r="27" spans="1:14" ht="15.75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1121"/>
      <c r="B28" s="1121"/>
      <c r="C28" s="1121"/>
      <c r="D28" s="1121"/>
      <c r="E28" s="1121"/>
      <c r="F28" s="1121"/>
      <c r="G28" s="1121"/>
      <c r="H28" s="1121"/>
      <c r="I28" s="1121"/>
      <c r="J28" s="1121"/>
      <c r="K28" s="1121"/>
      <c r="L28" s="1172" t="s">
        <v>489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122" t="s">
        <v>675</v>
      </c>
      <c r="L29" s="1122" t="s">
        <v>676</v>
      </c>
      <c r="M29" s="1122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1089"/>
      <c r="L30" s="1123"/>
      <c r="M30" s="1123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124"/>
      <c r="L31" s="1102"/>
      <c r="M31" s="110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125">
        <f>SUM(K30:K31)</f>
        <v>0</v>
      </c>
      <c r="L32" s="1125">
        <f>SUM(L30:L31)</f>
        <v>0</v>
      </c>
      <c r="M32" s="1125">
        <f>SUM(M30:M31)</f>
        <v>0</v>
      </c>
      <c r="N32" s="1170"/>
    </row>
    <row r="33" spans="1:14" x14ac:dyDescent="0.2">
      <c r="N33" s="1126"/>
    </row>
    <row r="48" spans="1:14" x14ac:dyDescent="0.2">
      <c r="A48" s="1127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080" customWidth="1"/>
    <col min="2" max="2" width="9.28515625" style="1080" bestFit="1" customWidth="1"/>
    <col min="3" max="12" width="8.5703125" style="1080" customWidth="1"/>
    <col min="13" max="13" width="8.5703125" style="1073" customWidth="1"/>
    <col min="14" max="14" width="3.42578125" style="1080" customWidth="1"/>
    <col min="15" max="256" width="8" style="1080"/>
    <col min="257" max="257" width="24.42578125" style="1080" customWidth="1"/>
    <col min="258" max="258" width="9.28515625" style="1080" bestFit="1" customWidth="1"/>
    <col min="259" max="269" width="8.5703125" style="1080" customWidth="1"/>
    <col min="270" max="270" width="3.42578125" style="1080" customWidth="1"/>
    <col min="271" max="512" width="8" style="1080"/>
    <col min="513" max="513" width="24.42578125" style="1080" customWidth="1"/>
    <col min="514" max="514" width="9.28515625" style="1080" bestFit="1" customWidth="1"/>
    <col min="515" max="525" width="8.5703125" style="1080" customWidth="1"/>
    <col min="526" max="526" width="3.42578125" style="1080" customWidth="1"/>
    <col min="527" max="768" width="8" style="1080"/>
    <col min="769" max="769" width="24.42578125" style="1080" customWidth="1"/>
    <col min="770" max="770" width="9.28515625" style="1080" bestFit="1" customWidth="1"/>
    <col min="771" max="781" width="8.5703125" style="1080" customWidth="1"/>
    <col min="782" max="782" width="3.42578125" style="1080" customWidth="1"/>
    <col min="783" max="1024" width="8" style="1080"/>
    <col min="1025" max="1025" width="24.42578125" style="1080" customWidth="1"/>
    <col min="1026" max="1026" width="9.28515625" style="1080" bestFit="1" customWidth="1"/>
    <col min="1027" max="1037" width="8.5703125" style="1080" customWidth="1"/>
    <col min="1038" max="1038" width="3.42578125" style="1080" customWidth="1"/>
    <col min="1039" max="1280" width="8" style="1080"/>
    <col min="1281" max="1281" width="24.42578125" style="1080" customWidth="1"/>
    <col min="1282" max="1282" width="9.28515625" style="1080" bestFit="1" customWidth="1"/>
    <col min="1283" max="1293" width="8.5703125" style="1080" customWidth="1"/>
    <col min="1294" max="1294" width="3.42578125" style="1080" customWidth="1"/>
    <col min="1295" max="1536" width="8" style="1080"/>
    <col min="1537" max="1537" width="24.42578125" style="1080" customWidth="1"/>
    <col min="1538" max="1538" width="9.28515625" style="1080" bestFit="1" customWidth="1"/>
    <col min="1539" max="1549" width="8.5703125" style="1080" customWidth="1"/>
    <col min="1550" max="1550" width="3.42578125" style="1080" customWidth="1"/>
    <col min="1551" max="1792" width="8" style="1080"/>
    <col min="1793" max="1793" width="24.42578125" style="1080" customWidth="1"/>
    <col min="1794" max="1794" width="9.28515625" style="1080" bestFit="1" customWidth="1"/>
    <col min="1795" max="1805" width="8.5703125" style="1080" customWidth="1"/>
    <col min="1806" max="1806" width="3.42578125" style="1080" customWidth="1"/>
    <col min="1807" max="2048" width="8" style="1080"/>
    <col min="2049" max="2049" width="24.42578125" style="1080" customWidth="1"/>
    <col min="2050" max="2050" width="9.28515625" style="1080" bestFit="1" customWidth="1"/>
    <col min="2051" max="2061" width="8.5703125" style="1080" customWidth="1"/>
    <col min="2062" max="2062" width="3.42578125" style="1080" customWidth="1"/>
    <col min="2063" max="2304" width="8" style="1080"/>
    <col min="2305" max="2305" width="24.42578125" style="1080" customWidth="1"/>
    <col min="2306" max="2306" width="9.28515625" style="1080" bestFit="1" customWidth="1"/>
    <col min="2307" max="2317" width="8.5703125" style="1080" customWidth="1"/>
    <col min="2318" max="2318" width="3.42578125" style="1080" customWidth="1"/>
    <col min="2319" max="2560" width="8" style="1080"/>
    <col min="2561" max="2561" width="24.42578125" style="1080" customWidth="1"/>
    <col min="2562" max="2562" width="9.28515625" style="1080" bestFit="1" customWidth="1"/>
    <col min="2563" max="2573" width="8.5703125" style="1080" customWidth="1"/>
    <col min="2574" max="2574" width="3.42578125" style="1080" customWidth="1"/>
    <col min="2575" max="2816" width="8" style="1080"/>
    <col min="2817" max="2817" width="24.42578125" style="1080" customWidth="1"/>
    <col min="2818" max="2818" width="9.28515625" style="1080" bestFit="1" customWidth="1"/>
    <col min="2819" max="2829" width="8.5703125" style="1080" customWidth="1"/>
    <col min="2830" max="2830" width="3.42578125" style="1080" customWidth="1"/>
    <col min="2831" max="3072" width="8" style="1080"/>
    <col min="3073" max="3073" width="24.42578125" style="1080" customWidth="1"/>
    <col min="3074" max="3074" width="9.28515625" style="1080" bestFit="1" customWidth="1"/>
    <col min="3075" max="3085" width="8.5703125" style="1080" customWidth="1"/>
    <col min="3086" max="3086" width="3.42578125" style="1080" customWidth="1"/>
    <col min="3087" max="3328" width="8" style="1080"/>
    <col min="3329" max="3329" width="24.42578125" style="1080" customWidth="1"/>
    <col min="3330" max="3330" width="9.28515625" style="1080" bestFit="1" customWidth="1"/>
    <col min="3331" max="3341" width="8.5703125" style="1080" customWidth="1"/>
    <col min="3342" max="3342" width="3.42578125" style="1080" customWidth="1"/>
    <col min="3343" max="3584" width="8" style="1080"/>
    <col min="3585" max="3585" width="24.42578125" style="1080" customWidth="1"/>
    <col min="3586" max="3586" width="9.28515625" style="1080" bestFit="1" customWidth="1"/>
    <col min="3587" max="3597" width="8.5703125" style="1080" customWidth="1"/>
    <col min="3598" max="3598" width="3.42578125" style="1080" customWidth="1"/>
    <col min="3599" max="3840" width="8" style="1080"/>
    <col min="3841" max="3841" width="24.42578125" style="1080" customWidth="1"/>
    <col min="3842" max="3842" width="9.28515625" style="1080" bestFit="1" customWidth="1"/>
    <col min="3843" max="3853" width="8.5703125" style="1080" customWidth="1"/>
    <col min="3854" max="3854" width="3.42578125" style="1080" customWidth="1"/>
    <col min="3855" max="4096" width="8" style="1080"/>
    <col min="4097" max="4097" width="24.42578125" style="1080" customWidth="1"/>
    <col min="4098" max="4098" width="9.28515625" style="1080" bestFit="1" customWidth="1"/>
    <col min="4099" max="4109" width="8.5703125" style="1080" customWidth="1"/>
    <col min="4110" max="4110" width="3.42578125" style="1080" customWidth="1"/>
    <col min="4111" max="4352" width="8" style="1080"/>
    <col min="4353" max="4353" width="24.42578125" style="1080" customWidth="1"/>
    <col min="4354" max="4354" width="9.28515625" style="1080" bestFit="1" customWidth="1"/>
    <col min="4355" max="4365" width="8.5703125" style="1080" customWidth="1"/>
    <col min="4366" max="4366" width="3.42578125" style="1080" customWidth="1"/>
    <col min="4367" max="4608" width="8" style="1080"/>
    <col min="4609" max="4609" width="24.42578125" style="1080" customWidth="1"/>
    <col min="4610" max="4610" width="9.28515625" style="1080" bestFit="1" customWidth="1"/>
    <col min="4611" max="4621" width="8.5703125" style="1080" customWidth="1"/>
    <col min="4622" max="4622" width="3.42578125" style="1080" customWidth="1"/>
    <col min="4623" max="4864" width="8" style="1080"/>
    <col min="4865" max="4865" width="24.42578125" style="1080" customWidth="1"/>
    <col min="4866" max="4866" width="9.28515625" style="1080" bestFit="1" customWidth="1"/>
    <col min="4867" max="4877" width="8.5703125" style="1080" customWidth="1"/>
    <col min="4878" max="4878" width="3.42578125" style="1080" customWidth="1"/>
    <col min="4879" max="5120" width="8" style="1080"/>
    <col min="5121" max="5121" width="24.42578125" style="1080" customWidth="1"/>
    <col min="5122" max="5122" width="9.28515625" style="1080" bestFit="1" customWidth="1"/>
    <col min="5123" max="5133" width="8.5703125" style="1080" customWidth="1"/>
    <col min="5134" max="5134" width="3.42578125" style="1080" customWidth="1"/>
    <col min="5135" max="5376" width="8" style="1080"/>
    <col min="5377" max="5377" width="24.42578125" style="1080" customWidth="1"/>
    <col min="5378" max="5378" width="9.28515625" style="1080" bestFit="1" customWidth="1"/>
    <col min="5379" max="5389" width="8.5703125" style="1080" customWidth="1"/>
    <col min="5390" max="5390" width="3.42578125" style="1080" customWidth="1"/>
    <col min="5391" max="5632" width="8" style="1080"/>
    <col min="5633" max="5633" width="24.42578125" style="1080" customWidth="1"/>
    <col min="5634" max="5634" width="9.28515625" style="1080" bestFit="1" customWidth="1"/>
    <col min="5635" max="5645" width="8.5703125" style="1080" customWidth="1"/>
    <col min="5646" max="5646" width="3.42578125" style="1080" customWidth="1"/>
    <col min="5647" max="5888" width="8" style="1080"/>
    <col min="5889" max="5889" width="24.42578125" style="1080" customWidth="1"/>
    <col min="5890" max="5890" width="9.28515625" style="1080" bestFit="1" customWidth="1"/>
    <col min="5891" max="5901" width="8.5703125" style="1080" customWidth="1"/>
    <col min="5902" max="5902" width="3.42578125" style="1080" customWidth="1"/>
    <col min="5903" max="6144" width="8" style="1080"/>
    <col min="6145" max="6145" width="24.42578125" style="1080" customWidth="1"/>
    <col min="6146" max="6146" width="9.28515625" style="1080" bestFit="1" customWidth="1"/>
    <col min="6147" max="6157" width="8.5703125" style="1080" customWidth="1"/>
    <col min="6158" max="6158" width="3.42578125" style="1080" customWidth="1"/>
    <col min="6159" max="6400" width="8" style="1080"/>
    <col min="6401" max="6401" width="24.42578125" style="1080" customWidth="1"/>
    <col min="6402" max="6402" width="9.28515625" style="1080" bestFit="1" customWidth="1"/>
    <col min="6403" max="6413" width="8.5703125" style="1080" customWidth="1"/>
    <col min="6414" max="6414" width="3.42578125" style="1080" customWidth="1"/>
    <col min="6415" max="6656" width="8" style="1080"/>
    <col min="6657" max="6657" width="24.42578125" style="1080" customWidth="1"/>
    <col min="6658" max="6658" width="9.28515625" style="1080" bestFit="1" customWidth="1"/>
    <col min="6659" max="6669" width="8.5703125" style="1080" customWidth="1"/>
    <col min="6670" max="6670" width="3.42578125" style="1080" customWidth="1"/>
    <col min="6671" max="6912" width="8" style="1080"/>
    <col min="6913" max="6913" width="24.42578125" style="1080" customWidth="1"/>
    <col min="6914" max="6914" width="9.28515625" style="1080" bestFit="1" customWidth="1"/>
    <col min="6915" max="6925" width="8.5703125" style="1080" customWidth="1"/>
    <col min="6926" max="6926" width="3.42578125" style="1080" customWidth="1"/>
    <col min="6927" max="7168" width="8" style="1080"/>
    <col min="7169" max="7169" width="24.42578125" style="1080" customWidth="1"/>
    <col min="7170" max="7170" width="9.28515625" style="1080" bestFit="1" customWidth="1"/>
    <col min="7171" max="7181" width="8.5703125" style="1080" customWidth="1"/>
    <col min="7182" max="7182" width="3.42578125" style="1080" customWidth="1"/>
    <col min="7183" max="7424" width="8" style="1080"/>
    <col min="7425" max="7425" width="24.42578125" style="1080" customWidth="1"/>
    <col min="7426" max="7426" width="9.28515625" style="1080" bestFit="1" customWidth="1"/>
    <col min="7427" max="7437" width="8.5703125" style="1080" customWidth="1"/>
    <col min="7438" max="7438" width="3.42578125" style="1080" customWidth="1"/>
    <col min="7439" max="7680" width="8" style="1080"/>
    <col min="7681" max="7681" width="24.42578125" style="1080" customWidth="1"/>
    <col min="7682" max="7682" width="9.28515625" style="1080" bestFit="1" customWidth="1"/>
    <col min="7683" max="7693" width="8.5703125" style="1080" customWidth="1"/>
    <col min="7694" max="7694" width="3.42578125" style="1080" customWidth="1"/>
    <col min="7695" max="7936" width="8" style="1080"/>
    <col min="7937" max="7937" width="24.42578125" style="1080" customWidth="1"/>
    <col min="7938" max="7938" width="9.28515625" style="1080" bestFit="1" customWidth="1"/>
    <col min="7939" max="7949" width="8.5703125" style="1080" customWidth="1"/>
    <col min="7950" max="7950" width="3.42578125" style="1080" customWidth="1"/>
    <col min="7951" max="8192" width="8" style="1080"/>
    <col min="8193" max="8193" width="24.42578125" style="1080" customWidth="1"/>
    <col min="8194" max="8194" width="9.28515625" style="1080" bestFit="1" customWidth="1"/>
    <col min="8195" max="8205" width="8.5703125" style="1080" customWidth="1"/>
    <col min="8206" max="8206" width="3.42578125" style="1080" customWidth="1"/>
    <col min="8207" max="8448" width="8" style="1080"/>
    <col min="8449" max="8449" width="24.42578125" style="1080" customWidth="1"/>
    <col min="8450" max="8450" width="9.28515625" style="1080" bestFit="1" customWidth="1"/>
    <col min="8451" max="8461" width="8.5703125" style="1080" customWidth="1"/>
    <col min="8462" max="8462" width="3.42578125" style="1080" customWidth="1"/>
    <col min="8463" max="8704" width="8" style="1080"/>
    <col min="8705" max="8705" width="24.42578125" style="1080" customWidth="1"/>
    <col min="8706" max="8706" width="9.28515625" style="1080" bestFit="1" customWidth="1"/>
    <col min="8707" max="8717" width="8.5703125" style="1080" customWidth="1"/>
    <col min="8718" max="8718" width="3.42578125" style="1080" customWidth="1"/>
    <col min="8719" max="8960" width="8" style="1080"/>
    <col min="8961" max="8961" width="24.42578125" style="1080" customWidth="1"/>
    <col min="8962" max="8962" width="9.28515625" style="1080" bestFit="1" customWidth="1"/>
    <col min="8963" max="8973" width="8.5703125" style="1080" customWidth="1"/>
    <col min="8974" max="8974" width="3.42578125" style="1080" customWidth="1"/>
    <col min="8975" max="9216" width="8" style="1080"/>
    <col min="9217" max="9217" width="24.42578125" style="1080" customWidth="1"/>
    <col min="9218" max="9218" width="9.28515625" style="1080" bestFit="1" customWidth="1"/>
    <col min="9219" max="9229" width="8.5703125" style="1080" customWidth="1"/>
    <col min="9230" max="9230" width="3.42578125" style="1080" customWidth="1"/>
    <col min="9231" max="9472" width="8" style="1080"/>
    <col min="9473" max="9473" width="24.42578125" style="1080" customWidth="1"/>
    <col min="9474" max="9474" width="9.28515625" style="1080" bestFit="1" customWidth="1"/>
    <col min="9475" max="9485" width="8.5703125" style="1080" customWidth="1"/>
    <col min="9486" max="9486" width="3.42578125" style="1080" customWidth="1"/>
    <col min="9487" max="9728" width="8" style="1080"/>
    <col min="9729" max="9729" width="24.42578125" style="1080" customWidth="1"/>
    <col min="9730" max="9730" width="9.28515625" style="1080" bestFit="1" customWidth="1"/>
    <col min="9731" max="9741" width="8.5703125" style="1080" customWidth="1"/>
    <col min="9742" max="9742" width="3.42578125" style="1080" customWidth="1"/>
    <col min="9743" max="9984" width="8" style="1080"/>
    <col min="9985" max="9985" width="24.42578125" style="1080" customWidth="1"/>
    <col min="9986" max="9986" width="9.28515625" style="1080" bestFit="1" customWidth="1"/>
    <col min="9987" max="9997" width="8.5703125" style="1080" customWidth="1"/>
    <col min="9998" max="9998" width="3.42578125" style="1080" customWidth="1"/>
    <col min="9999" max="10240" width="8" style="1080"/>
    <col min="10241" max="10241" width="24.42578125" style="1080" customWidth="1"/>
    <col min="10242" max="10242" width="9.28515625" style="1080" bestFit="1" customWidth="1"/>
    <col min="10243" max="10253" width="8.5703125" style="1080" customWidth="1"/>
    <col min="10254" max="10254" width="3.42578125" style="1080" customWidth="1"/>
    <col min="10255" max="10496" width="8" style="1080"/>
    <col min="10497" max="10497" width="24.42578125" style="1080" customWidth="1"/>
    <col min="10498" max="10498" width="9.28515625" style="1080" bestFit="1" customWidth="1"/>
    <col min="10499" max="10509" width="8.5703125" style="1080" customWidth="1"/>
    <col min="10510" max="10510" width="3.42578125" style="1080" customWidth="1"/>
    <col min="10511" max="10752" width="8" style="1080"/>
    <col min="10753" max="10753" width="24.42578125" style="1080" customWidth="1"/>
    <col min="10754" max="10754" width="9.28515625" style="1080" bestFit="1" customWidth="1"/>
    <col min="10755" max="10765" width="8.5703125" style="1080" customWidth="1"/>
    <col min="10766" max="10766" width="3.42578125" style="1080" customWidth="1"/>
    <col min="10767" max="11008" width="8" style="1080"/>
    <col min="11009" max="11009" width="24.42578125" style="1080" customWidth="1"/>
    <col min="11010" max="11010" width="9.28515625" style="1080" bestFit="1" customWidth="1"/>
    <col min="11011" max="11021" width="8.5703125" style="1080" customWidth="1"/>
    <col min="11022" max="11022" width="3.42578125" style="1080" customWidth="1"/>
    <col min="11023" max="11264" width="8" style="1080"/>
    <col min="11265" max="11265" width="24.42578125" style="1080" customWidth="1"/>
    <col min="11266" max="11266" width="9.28515625" style="1080" bestFit="1" customWidth="1"/>
    <col min="11267" max="11277" width="8.5703125" style="1080" customWidth="1"/>
    <col min="11278" max="11278" width="3.42578125" style="1080" customWidth="1"/>
    <col min="11279" max="11520" width="8" style="1080"/>
    <col min="11521" max="11521" width="24.42578125" style="1080" customWidth="1"/>
    <col min="11522" max="11522" width="9.28515625" style="1080" bestFit="1" customWidth="1"/>
    <col min="11523" max="11533" width="8.5703125" style="1080" customWidth="1"/>
    <col min="11534" max="11534" width="3.42578125" style="1080" customWidth="1"/>
    <col min="11535" max="11776" width="8" style="1080"/>
    <col min="11777" max="11777" width="24.42578125" style="1080" customWidth="1"/>
    <col min="11778" max="11778" width="9.28515625" style="1080" bestFit="1" customWidth="1"/>
    <col min="11779" max="11789" width="8.5703125" style="1080" customWidth="1"/>
    <col min="11790" max="11790" width="3.42578125" style="1080" customWidth="1"/>
    <col min="11791" max="12032" width="8" style="1080"/>
    <col min="12033" max="12033" width="24.42578125" style="1080" customWidth="1"/>
    <col min="12034" max="12034" width="9.28515625" style="1080" bestFit="1" customWidth="1"/>
    <col min="12035" max="12045" width="8.5703125" style="1080" customWidth="1"/>
    <col min="12046" max="12046" width="3.42578125" style="1080" customWidth="1"/>
    <col min="12047" max="12288" width="8" style="1080"/>
    <col min="12289" max="12289" width="24.42578125" style="1080" customWidth="1"/>
    <col min="12290" max="12290" width="9.28515625" style="1080" bestFit="1" customWidth="1"/>
    <col min="12291" max="12301" width="8.5703125" style="1080" customWidth="1"/>
    <col min="12302" max="12302" width="3.42578125" style="1080" customWidth="1"/>
    <col min="12303" max="12544" width="8" style="1080"/>
    <col min="12545" max="12545" width="24.42578125" style="1080" customWidth="1"/>
    <col min="12546" max="12546" width="9.28515625" style="1080" bestFit="1" customWidth="1"/>
    <col min="12547" max="12557" width="8.5703125" style="1080" customWidth="1"/>
    <col min="12558" max="12558" width="3.42578125" style="1080" customWidth="1"/>
    <col min="12559" max="12800" width="8" style="1080"/>
    <col min="12801" max="12801" width="24.42578125" style="1080" customWidth="1"/>
    <col min="12802" max="12802" width="9.28515625" style="1080" bestFit="1" customWidth="1"/>
    <col min="12803" max="12813" width="8.5703125" style="1080" customWidth="1"/>
    <col min="12814" max="12814" width="3.42578125" style="1080" customWidth="1"/>
    <col min="12815" max="13056" width="8" style="1080"/>
    <col min="13057" max="13057" width="24.42578125" style="1080" customWidth="1"/>
    <col min="13058" max="13058" width="9.28515625" style="1080" bestFit="1" customWidth="1"/>
    <col min="13059" max="13069" width="8.5703125" style="1080" customWidth="1"/>
    <col min="13070" max="13070" width="3.42578125" style="1080" customWidth="1"/>
    <col min="13071" max="13312" width="8" style="1080"/>
    <col min="13313" max="13313" width="24.42578125" style="1080" customWidth="1"/>
    <col min="13314" max="13314" width="9.28515625" style="1080" bestFit="1" customWidth="1"/>
    <col min="13315" max="13325" width="8.5703125" style="1080" customWidth="1"/>
    <col min="13326" max="13326" width="3.42578125" style="1080" customWidth="1"/>
    <col min="13327" max="13568" width="8" style="1080"/>
    <col min="13569" max="13569" width="24.42578125" style="1080" customWidth="1"/>
    <col min="13570" max="13570" width="9.28515625" style="1080" bestFit="1" customWidth="1"/>
    <col min="13571" max="13581" width="8.5703125" style="1080" customWidth="1"/>
    <col min="13582" max="13582" width="3.42578125" style="1080" customWidth="1"/>
    <col min="13583" max="13824" width="8" style="1080"/>
    <col min="13825" max="13825" width="24.42578125" style="1080" customWidth="1"/>
    <col min="13826" max="13826" width="9.28515625" style="1080" bestFit="1" customWidth="1"/>
    <col min="13827" max="13837" width="8.5703125" style="1080" customWidth="1"/>
    <col min="13838" max="13838" width="3.42578125" style="1080" customWidth="1"/>
    <col min="13839" max="14080" width="8" style="1080"/>
    <col min="14081" max="14081" width="24.42578125" style="1080" customWidth="1"/>
    <col min="14082" max="14082" width="9.28515625" style="1080" bestFit="1" customWidth="1"/>
    <col min="14083" max="14093" width="8.5703125" style="1080" customWidth="1"/>
    <col min="14094" max="14094" width="3.42578125" style="1080" customWidth="1"/>
    <col min="14095" max="14336" width="8" style="1080"/>
    <col min="14337" max="14337" width="24.42578125" style="1080" customWidth="1"/>
    <col min="14338" max="14338" width="9.28515625" style="1080" bestFit="1" customWidth="1"/>
    <col min="14339" max="14349" width="8.5703125" style="1080" customWidth="1"/>
    <col min="14350" max="14350" width="3.42578125" style="1080" customWidth="1"/>
    <col min="14351" max="14592" width="8" style="1080"/>
    <col min="14593" max="14593" width="24.42578125" style="1080" customWidth="1"/>
    <col min="14594" max="14594" width="9.28515625" style="1080" bestFit="1" customWidth="1"/>
    <col min="14595" max="14605" width="8.5703125" style="1080" customWidth="1"/>
    <col min="14606" max="14606" width="3.42578125" style="1080" customWidth="1"/>
    <col min="14607" max="14848" width="8" style="1080"/>
    <col min="14849" max="14849" width="24.42578125" style="1080" customWidth="1"/>
    <col min="14850" max="14850" width="9.28515625" style="1080" bestFit="1" customWidth="1"/>
    <col min="14851" max="14861" width="8.5703125" style="1080" customWidth="1"/>
    <col min="14862" max="14862" width="3.42578125" style="1080" customWidth="1"/>
    <col min="14863" max="15104" width="8" style="1080"/>
    <col min="15105" max="15105" width="24.42578125" style="1080" customWidth="1"/>
    <col min="15106" max="15106" width="9.28515625" style="1080" bestFit="1" customWidth="1"/>
    <col min="15107" max="15117" width="8.5703125" style="1080" customWidth="1"/>
    <col min="15118" max="15118" width="3.42578125" style="1080" customWidth="1"/>
    <col min="15119" max="15360" width="8" style="1080"/>
    <col min="15361" max="15361" width="24.42578125" style="1080" customWidth="1"/>
    <col min="15362" max="15362" width="9.28515625" style="1080" bestFit="1" customWidth="1"/>
    <col min="15363" max="15373" width="8.5703125" style="1080" customWidth="1"/>
    <col min="15374" max="15374" width="3.42578125" style="1080" customWidth="1"/>
    <col min="15375" max="15616" width="8" style="1080"/>
    <col min="15617" max="15617" width="24.42578125" style="1080" customWidth="1"/>
    <col min="15618" max="15618" width="9.28515625" style="1080" bestFit="1" customWidth="1"/>
    <col min="15619" max="15629" width="8.5703125" style="1080" customWidth="1"/>
    <col min="15630" max="15630" width="3.42578125" style="1080" customWidth="1"/>
    <col min="15631" max="15872" width="8" style="1080"/>
    <col min="15873" max="15873" width="24.42578125" style="1080" customWidth="1"/>
    <col min="15874" max="15874" width="9.28515625" style="1080" bestFit="1" customWidth="1"/>
    <col min="15875" max="15885" width="8.5703125" style="1080" customWidth="1"/>
    <col min="15886" max="15886" width="3.42578125" style="1080" customWidth="1"/>
    <col min="15887" max="16128" width="8" style="1080"/>
    <col min="16129" max="16129" width="24.42578125" style="1080" customWidth="1"/>
    <col min="16130" max="16130" width="9.28515625" style="1080" bestFit="1" customWidth="1"/>
    <col min="16131" max="16141" width="8.5703125" style="1080" customWidth="1"/>
    <col min="16142" max="16142" width="3.42578125" style="1080" customWidth="1"/>
    <col min="16143" max="16384" width="8" style="1080"/>
  </cols>
  <sheetData>
    <row r="1" spans="1:14" ht="39.75" customHeight="1" x14ac:dyDescent="0.2">
      <c r="A1" s="1167" t="s">
        <v>782</v>
      </c>
      <c r="B1" s="1167"/>
      <c r="C1" s="1167"/>
      <c r="D1" s="1168" t="s">
        <v>784</v>
      </c>
      <c r="E1" s="1169"/>
      <c r="F1" s="1169"/>
      <c r="G1" s="1169"/>
      <c r="H1" s="1169"/>
      <c r="I1" s="1169"/>
      <c r="J1" s="1169"/>
      <c r="K1" s="1169"/>
      <c r="L1" s="1169"/>
      <c r="M1" s="1169"/>
      <c r="N1" s="1170" t="s">
        <v>824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21.75" thickBot="1" x14ac:dyDescent="0.25">
      <c r="A5" s="1174"/>
      <c r="B5" s="1179"/>
      <c r="C5" s="1180"/>
      <c r="D5" s="1081" t="s">
        <v>222</v>
      </c>
      <c r="E5" s="1081" t="s">
        <v>223</v>
      </c>
      <c r="F5" s="1081" t="s">
        <v>222</v>
      </c>
      <c r="G5" s="1081" t="s">
        <v>223</v>
      </c>
      <c r="H5" s="1081" t="s">
        <v>222</v>
      </c>
      <c r="I5" s="1081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1082" t="str">
        <f>+D6</f>
        <v>2018. előtt</v>
      </c>
      <c r="K6" s="1081" t="str">
        <f>+F6</f>
        <v>2018. évi</v>
      </c>
      <c r="L6" s="1082" t="s">
        <v>248</v>
      </c>
      <c r="M6" s="1066" t="s">
        <v>804</v>
      </c>
      <c r="N6" s="1170"/>
    </row>
    <row r="7" spans="1:14" ht="13.5" thickBot="1" x14ac:dyDescent="0.25">
      <c r="A7" s="1083" t="s">
        <v>446</v>
      </c>
      <c r="B7" s="1082" t="s">
        <v>447</v>
      </c>
      <c r="C7" s="1082" t="s">
        <v>448</v>
      </c>
      <c r="D7" s="1084" t="s">
        <v>449</v>
      </c>
      <c r="E7" s="1081" t="s">
        <v>450</v>
      </c>
      <c r="F7" s="1081" t="s">
        <v>635</v>
      </c>
      <c r="G7" s="1081" t="s">
        <v>636</v>
      </c>
      <c r="H7" s="1082" t="s">
        <v>637</v>
      </c>
      <c r="I7" s="1084" t="s">
        <v>638</v>
      </c>
      <c r="J7" s="1084" t="s">
        <v>670</v>
      </c>
      <c r="K7" s="1084" t="s">
        <v>671</v>
      </c>
      <c r="L7" s="1084" t="s">
        <v>672</v>
      </c>
      <c r="M7" s="1067" t="s">
        <v>673</v>
      </c>
      <c r="N7" s="1170"/>
    </row>
    <row r="8" spans="1:14" x14ac:dyDescent="0.2">
      <c r="A8" s="1086" t="s">
        <v>203</v>
      </c>
      <c r="B8" s="1087"/>
      <c r="C8" s="1088"/>
      <c r="D8" s="1088"/>
      <c r="E8" s="1089"/>
      <c r="F8" s="1088"/>
      <c r="G8" s="1088"/>
      <c r="H8" s="1088"/>
      <c r="I8" s="1088"/>
      <c r="J8" s="1088"/>
      <c r="K8" s="1088"/>
      <c r="L8" s="1090">
        <f t="shared" ref="L8:L14" si="0">+J8+K8</f>
        <v>0</v>
      </c>
      <c r="M8" s="1091" t="str">
        <f t="shared" ref="M8:M15" si="1">IF((C8&lt;&gt;0),ROUND((L8/C8)*100,1),"")</f>
        <v/>
      </c>
      <c r="N8" s="1170"/>
    </row>
    <row r="9" spans="1:14" x14ac:dyDescent="0.2">
      <c r="A9" s="1092" t="s">
        <v>206</v>
      </c>
      <c r="B9" s="1093"/>
      <c r="C9" s="1094"/>
      <c r="D9" s="1094"/>
      <c r="E9" s="1094"/>
      <c r="F9" s="1094"/>
      <c r="G9" s="1094"/>
      <c r="H9" s="1094"/>
      <c r="I9" s="1094"/>
      <c r="J9" s="1094"/>
      <c r="K9" s="1094"/>
      <c r="L9" s="1095">
        <f t="shared" si="0"/>
        <v>0</v>
      </c>
      <c r="M9" s="1096" t="str">
        <f t="shared" si="1"/>
        <v/>
      </c>
      <c r="N9" s="1170"/>
    </row>
    <row r="10" spans="1:14" x14ac:dyDescent="0.2">
      <c r="A10" s="1097" t="s">
        <v>207</v>
      </c>
      <c r="B10" s="1098">
        <v>75588869</v>
      </c>
      <c r="C10" s="1099">
        <v>75588869</v>
      </c>
      <c r="D10" s="1099">
        <v>71809476</v>
      </c>
      <c r="E10" s="1099">
        <v>71809476</v>
      </c>
      <c r="F10" s="1099">
        <v>3779393</v>
      </c>
      <c r="G10" s="1099">
        <v>0</v>
      </c>
      <c r="H10" s="1099">
        <v>0</v>
      </c>
      <c r="I10" s="1099">
        <v>3796748</v>
      </c>
      <c r="J10" s="1099">
        <v>71809476</v>
      </c>
      <c r="K10" s="1099"/>
      <c r="L10" s="1095">
        <f>SUM(J10:K10)</f>
        <v>71809476</v>
      </c>
      <c r="M10" s="1078">
        <f t="shared" si="1"/>
        <v>95</v>
      </c>
      <c r="N10" s="1170"/>
    </row>
    <row r="11" spans="1:14" x14ac:dyDescent="0.2">
      <c r="A11" s="1097" t="s">
        <v>208</v>
      </c>
      <c r="B11" s="1098"/>
      <c r="C11" s="1099"/>
      <c r="D11" s="1099"/>
      <c r="E11" s="1099"/>
      <c r="F11" s="1099"/>
      <c r="G11" s="1099"/>
      <c r="H11" s="1099"/>
      <c r="I11" s="1099"/>
      <c r="J11" s="1099"/>
      <c r="K11" s="1099"/>
      <c r="L11" s="1095"/>
      <c r="M11" s="1096" t="str">
        <f t="shared" si="1"/>
        <v/>
      </c>
      <c r="N11" s="1170"/>
    </row>
    <row r="12" spans="1:14" x14ac:dyDescent="0.2">
      <c r="A12" s="1097" t="s">
        <v>209</v>
      </c>
      <c r="B12" s="1098"/>
      <c r="C12" s="1099"/>
      <c r="D12" s="1099"/>
      <c r="E12" s="1099"/>
      <c r="F12" s="1099"/>
      <c r="G12" s="1099"/>
      <c r="H12" s="1099"/>
      <c r="I12" s="1099"/>
      <c r="J12" s="1099"/>
      <c r="K12" s="1099"/>
      <c r="L12" s="1095">
        <f t="shared" si="0"/>
        <v>0</v>
      </c>
      <c r="M12" s="1096" t="str">
        <f t="shared" si="1"/>
        <v/>
      </c>
      <c r="N12" s="1170"/>
    </row>
    <row r="13" spans="1:14" x14ac:dyDescent="0.2">
      <c r="A13" s="1097" t="s">
        <v>210</v>
      </c>
      <c r="B13" s="1098"/>
      <c r="C13" s="1099"/>
      <c r="D13" s="1099"/>
      <c r="E13" s="1099"/>
      <c r="F13" s="1099"/>
      <c r="G13" s="1099"/>
      <c r="H13" s="1099"/>
      <c r="I13" s="1099"/>
      <c r="J13" s="1099"/>
      <c r="K13" s="1099"/>
      <c r="L13" s="1095">
        <f t="shared" si="0"/>
        <v>0</v>
      </c>
      <c r="M13" s="1096" t="str">
        <f t="shared" si="1"/>
        <v/>
      </c>
      <c r="N13" s="1170"/>
    </row>
    <row r="14" spans="1:14" ht="15" customHeight="1" thickBot="1" x14ac:dyDescent="0.25">
      <c r="A14" s="1100"/>
      <c r="B14" s="1101"/>
      <c r="C14" s="1102"/>
      <c r="D14" s="1102"/>
      <c r="E14" s="1102"/>
      <c r="F14" s="1102"/>
      <c r="G14" s="1102"/>
      <c r="H14" s="1102"/>
      <c r="I14" s="1102"/>
      <c r="J14" s="1102"/>
      <c r="K14" s="1102"/>
      <c r="L14" s="1095">
        <f t="shared" si="0"/>
        <v>0</v>
      </c>
      <c r="M14" s="1103" t="str">
        <f t="shared" si="1"/>
        <v/>
      </c>
      <c r="N14" s="1170"/>
    </row>
    <row r="15" spans="1:14" ht="13.5" thickBot="1" x14ac:dyDescent="0.25">
      <c r="A15" s="1104" t="s">
        <v>211</v>
      </c>
      <c r="B15" s="1105">
        <f t="shared" ref="B15:L15" si="2">B8+SUM(B10:B14)</f>
        <v>75588869</v>
      </c>
      <c r="C15" s="1105">
        <f t="shared" si="2"/>
        <v>75588869</v>
      </c>
      <c r="D15" s="1105">
        <f t="shared" si="2"/>
        <v>71809476</v>
      </c>
      <c r="E15" s="1105">
        <f t="shared" si="2"/>
        <v>71809476</v>
      </c>
      <c r="F15" s="1105">
        <f t="shared" si="2"/>
        <v>3779393</v>
      </c>
      <c r="G15" s="1105">
        <f t="shared" si="2"/>
        <v>0</v>
      </c>
      <c r="H15" s="1105">
        <f t="shared" si="2"/>
        <v>0</v>
      </c>
      <c r="I15" s="1105">
        <f t="shared" si="2"/>
        <v>3796748</v>
      </c>
      <c r="J15" s="1105">
        <f t="shared" si="2"/>
        <v>71809476</v>
      </c>
      <c r="K15" s="1105">
        <f t="shared" si="2"/>
        <v>0</v>
      </c>
      <c r="L15" s="1105">
        <f t="shared" si="2"/>
        <v>71809476</v>
      </c>
      <c r="M15" s="1106">
        <f t="shared" si="1"/>
        <v>95</v>
      </c>
      <c r="N15" s="1170"/>
    </row>
    <row r="16" spans="1:14" x14ac:dyDescent="0.2">
      <c r="A16" s="1107"/>
      <c r="B16" s="1108"/>
      <c r="C16" s="1109"/>
      <c r="D16" s="1109"/>
      <c r="E16" s="1109"/>
      <c r="F16" s="1109"/>
      <c r="G16" s="1109"/>
      <c r="H16" s="1109"/>
      <c r="I16" s="1109"/>
      <c r="J16" s="1109"/>
      <c r="K16" s="1109"/>
      <c r="L16" s="1109"/>
      <c r="M16" s="1068"/>
      <c r="N16" s="1170"/>
    </row>
    <row r="17" spans="1:14" ht="13.5" thickBot="1" x14ac:dyDescent="0.25">
      <c r="A17" s="1110" t="s">
        <v>212</v>
      </c>
      <c r="B17" s="1111"/>
      <c r="C17" s="1112"/>
      <c r="D17" s="1112"/>
      <c r="E17" s="1112"/>
      <c r="F17" s="1112"/>
      <c r="G17" s="1112"/>
      <c r="H17" s="1112"/>
      <c r="I17" s="1112"/>
      <c r="J17" s="1112"/>
      <c r="K17" s="1112"/>
      <c r="L17" s="1112"/>
      <c r="M17" s="1069"/>
      <c r="N17" s="1170"/>
    </row>
    <row r="18" spans="1:14" x14ac:dyDescent="0.2">
      <c r="A18" s="1113" t="s">
        <v>213</v>
      </c>
      <c r="B18" s="1087">
        <v>1889633</v>
      </c>
      <c r="C18" s="1088">
        <v>1889633</v>
      </c>
      <c r="D18" s="1088">
        <v>708612</v>
      </c>
      <c r="E18" s="1089">
        <v>708612</v>
      </c>
      <c r="F18" s="1088">
        <v>1181021</v>
      </c>
      <c r="G18" s="1088">
        <v>1181021</v>
      </c>
      <c r="H18" s="1088"/>
      <c r="I18" s="1088"/>
      <c r="J18" s="1089">
        <v>708612</v>
      </c>
      <c r="K18" s="1088">
        <v>1181021</v>
      </c>
      <c r="L18" s="1114">
        <v>1889633</v>
      </c>
      <c r="M18" s="1091">
        <f t="shared" ref="M18:M24" si="3">IF((C18&lt;&gt;0),ROUND((L18/C18)*100,1),"")</f>
        <v>100</v>
      </c>
      <c r="N18" s="1170"/>
    </row>
    <row r="19" spans="1:14" x14ac:dyDescent="0.2">
      <c r="A19" s="1115" t="s">
        <v>214</v>
      </c>
      <c r="B19" s="1093">
        <v>67274267</v>
      </c>
      <c r="C19" s="1099">
        <v>67274267</v>
      </c>
      <c r="D19" s="1099"/>
      <c r="E19" s="1099">
        <v>26581729</v>
      </c>
      <c r="F19" s="1099">
        <v>67274267</v>
      </c>
      <c r="G19" s="1099">
        <v>40692538</v>
      </c>
      <c r="H19" s="1099"/>
      <c r="I19" s="1099"/>
      <c r="J19" s="1099">
        <v>26581729</v>
      </c>
      <c r="K19" s="1099">
        <v>40670153</v>
      </c>
      <c r="L19" s="1116">
        <v>67251882</v>
      </c>
      <c r="M19" s="1096">
        <f t="shared" si="3"/>
        <v>100</v>
      </c>
      <c r="N19" s="1170"/>
    </row>
    <row r="20" spans="1:14" x14ac:dyDescent="0.2">
      <c r="A20" s="1115" t="s">
        <v>215</v>
      </c>
      <c r="B20" s="1098">
        <v>6424969</v>
      </c>
      <c r="C20" s="1099">
        <v>6424969</v>
      </c>
      <c r="D20" s="1099">
        <v>4535272</v>
      </c>
      <c r="E20" s="1099">
        <v>3771900</v>
      </c>
      <c r="F20" s="1099">
        <v>1889697</v>
      </c>
      <c r="G20" s="1099">
        <v>2653069</v>
      </c>
      <c r="H20" s="1099"/>
      <c r="I20" s="1099"/>
      <c r="J20" s="1099">
        <v>3771900</v>
      </c>
      <c r="K20" s="1099">
        <v>2653069</v>
      </c>
      <c r="L20" s="1116">
        <v>6424969</v>
      </c>
      <c r="M20" s="1096">
        <f t="shared" si="3"/>
        <v>100</v>
      </c>
      <c r="N20" s="1170"/>
    </row>
    <row r="21" spans="1:14" x14ac:dyDescent="0.2">
      <c r="A21" s="1115" t="s">
        <v>216</v>
      </c>
      <c r="B21" s="1098"/>
      <c r="C21" s="1099"/>
      <c r="D21" s="1099"/>
      <c r="E21" s="1099"/>
      <c r="F21" s="1099"/>
      <c r="G21" s="1099"/>
      <c r="H21" s="1099"/>
      <c r="I21" s="1099"/>
      <c r="J21" s="1099"/>
      <c r="K21" s="1099"/>
      <c r="L21" s="1116"/>
      <c r="M21" s="1096" t="str">
        <f t="shared" si="3"/>
        <v/>
      </c>
      <c r="N21" s="1170"/>
    </row>
    <row r="22" spans="1:14" x14ac:dyDescent="0.2">
      <c r="A22" s="1117"/>
      <c r="B22" s="1098"/>
      <c r="C22" s="1099"/>
      <c r="D22" s="1099"/>
      <c r="E22" s="1099"/>
      <c r="F22" s="1099"/>
      <c r="G22" s="1099"/>
      <c r="H22" s="1099"/>
      <c r="I22" s="1099"/>
      <c r="J22" s="1099"/>
      <c r="K22" s="1099"/>
      <c r="L22" s="1116">
        <f t="shared" ref="L22:L23" si="4">+J22+K22</f>
        <v>0</v>
      </c>
      <c r="M22" s="1096" t="str">
        <f t="shared" si="3"/>
        <v/>
      </c>
      <c r="N22" s="1170"/>
    </row>
    <row r="23" spans="1:14" ht="13.5" thickBot="1" x14ac:dyDescent="0.25">
      <c r="A23" s="1118"/>
      <c r="B23" s="1101"/>
      <c r="C23" s="1102"/>
      <c r="D23" s="1102"/>
      <c r="E23" s="1102"/>
      <c r="F23" s="1102"/>
      <c r="G23" s="1102"/>
      <c r="H23" s="1102"/>
      <c r="I23" s="1102"/>
      <c r="J23" s="1102"/>
      <c r="K23" s="1102"/>
      <c r="L23" s="1116">
        <f t="shared" si="4"/>
        <v>0</v>
      </c>
      <c r="M23" s="1103" t="str">
        <f t="shared" si="3"/>
        <v/>
      </c>
      <c r="N23" s="1170"/>
    </row>
    <row r="24" spans="1:14" ht="13.5" thickBot="1" x14ac:dyDescent="0.25">
      <c r="A24" s="1119" t="s">
        <v>218</v>
      </c>
      <c r="B24" s="1105">
        <f t="shared" ref="B24:L24" si="5">SUM(B18:B23)</f>
        <v>75588869</v>
      </c>
      <c r="C24" s="1105">
        <f t="shared" si="5"/>
        <v>75588869</v>
      </c>
      <c r="D24" s="1105">
        <f t="shared" si="5"/>
        <v>5243884</v>
      </c>
      <c r="E24" s="1105">
        <f t="shared" si="5"/>
        <v>31062241</v>
      </c>
      <c r="F24" s="1105">
        <f t="shared" si="5"/>
        <v>70344985</v>
      </c>
      <c r="G24" s="1105">
        <f t="shared" si="5"/>
        <v>44526628</v>
      </c>
      <c r="H24" s="1105">
        <f t="shared" si="5"/>
        <v>0</v>
      </c>
      <c r="I24" s="1105">
        <f t="shared" si="5"/>
        <v>0</v>
      </c>
      <c r="J24" s="1105">
        <f t="shared" si="5"/>
        <v>31062241</v>
      </c>
      <c r="K24" s="1105">
        <f t="shared" si="5"/>
        <v>44504243</v>
      </c>
      <c r="L24" s="1105">
        <f t="shared" si="5"/>
        <v>75566484</v>
      </c>
      <c r="M24" s="1106">
        <f t="shared" si="3"/>
        <v>100</v>
      </c>
      <c r="N24" s="1170"/>
    </row>
    <row r="25" spans="1:14" x14ac:dyDescent="0.2">
      <c r="A25" s="1186" t="s">
        <v>674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1120"/>
      <c r="B26" s="1120"/>
      <c r="C26" s="1120"/>
      <c r="D26" s="1120"/>
      <c r="E26" s="1120"/>
      <c r="F26" s="1120"/>
      <c r="G26" s="1120"/>
      <c r="H26" s="1120"/>
      <c r="I26" s="1120"/>
      <c r="J26" s="1120"/>
      <c r="K26" s="1120"/>
      <c r="L26" s="1120"/>
      <c r="M26" s="1077"/>
      <c r="N26" s="1170"/>
    </row>
    <row r="27" spans="1:14" ht="15.75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1121"/>
      <c r="B28" s="1121"/>
      <c r="C28" s="1121"/>
      <c r="D28" s="1121"/>
      <c r="E28" s="1121"/>
      <c r="F28" s="1121"/>
      <c r="G28" s="1121"/>
      <c r="H28" s="1121"/>
      <c r="I28" s="1121"/>
      <c r="J28" s="1121"/>
      <c r="K28" s="1121"/>
      <c r="L28" s="1172" t="s">
        <v>489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122" t="s">
        <v>675</v>
      </c>
      <c r="L29" s="1122" t="s">
        <v>676</v>
      </c>
      <c r="M29" s="1070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1089"/>
      <c r="L30" s="1123"/>
      <c r="M30" s="1071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124"/>
      <c r="L31" s="1102"/>
      <c r="M31" s="107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125">
        <f>SUM(K30:K31)</f>
        <v>0</v>
      </c>
      <c r="L32" s="1125">
        <f>SUM(L30:L31)</f>
        <v>0</v>
      </c>
      <c r="M32" s="1079">
        <f>SUM(M30:M31)</f>
        <v>0</v>
      </c>
      <c r="N32" s="1170"/>
    </row>
    <row r="33" spans="1:14" x14ac:dyDescent="0.2">
      <c r="N33" s="1126"/>
    </row>
    <row r="48" spans="1:14" x14ac:dyDescent="0.2">
      <c r="A48" s="1127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080" customWidth="1"/>
    <col min="2" max="2" width="9.28515625" style="1080" bestFit="1" customWidth="1"/>
    <col min="3" max="13" width="8.5703125" style="1080" customWidth="1"/>
    <col min="14" max="14" width="3.42578125" style="1080" customWidth="1"/>
    <col min="15" max="256" width="8" style="1080"/>
    <col min="257" max="257" width="24.42578125" style="1080" customWidth="1"/>
    <col min="258" max="258" width="9.28515625" style="1080" bestFit="1" customWidth="1"/>
    <col min="259" max="269" width="8.5703125" style="1080" customWidth="1"/>
    <col min="270" max="270" width="3.42578125" style="1080" customWidth="1"/>
    <col min="271" max="512" width="8" style="1080"/>
    <col min="513" max="513" width="24.42578125" style="1080" customWidth="1"/>
    <col min="514" max="514" width="9.28515625" style="1080" bestFit="1" customWidth="1"/>
    <col min="515" max="525" width="8.5703125" style="1080" customWidth="1"/>
    <col min="526" max="526" width="3.42578125" style="1080" customWidth="1"/>
    <col min="527" max="768" width="8" style="1080"/>
    <col min="769" max="769" width="24.42578125" style="1080" customWidth="1"/>
    <col min="770" max="770" width="9.28515625" style="1080" bestFit="1" customWidth="1"/>
    <col min="771" max="781" width="8.5703125" style="1080" customWidth="1"/>
    <col min="782" max="782" width="3.42578125" style="1080" customWidth="1"/>
    <col min="783" max="1024" width="8" style="1080"/>
    <col min="1025" max="1025" width="24.42578125" style="1080" customWidth="1"/>
    <col min="1026" max="1026" width="9.28515625" style="1080" bestFit="1" customWidth="1"/>
    <col min="1027" max="1037" width="8.5703125" style="1080" customWidth="1"/>
    <col min="1038" max="1038" width="3.42578125" style="1080" customWidth="1"/>
    <col min="1039" max="1280" width="8" style="1080"/>
    <col min="1281" max="1281" width="24.42578125" style="1080" customWidth="1"/>
    <col min="1282" max="1282" width="9.28515625" style="1080" bestFit="1" customWidth="1"/>
    <col min="1283" max="1293" width="8.5703125" style="1080" customWidth="1"/>
    <col min="1294" max="1294" width="3.42578125" style="1080" customWidth="1"/>
    <col min="1295" max="1536" width="8" style="1080"/>
    <col min="1537" max="1537" width="24.42578125" style="1080" customWidth="1"/>
    <col min="1538" max="1538" width="9.28515625" style="1080" bestFit="1" customWidth="1"/>
    <col min="1539" max="1549" width="8.5703125" style="1080" customWidth="1"/>
    <col min="1550" max="1550" width="3.42578125" style="1080" customWidth="1"/>
    <col min="1551" max="1792" width="8" style="1080"/>
    <col min="1793" max="1793" width="24.42578125" style="1080" customWidth="1"/>
    <col min="1794" max="1794" width="9.28515625" style="1080" bestFit="1" customWidth="1"/>
    <col min="1795" max="1805" width="8.5703125" style="1080" customWidth="1"/>
    <col min="1806" max="1806" width="3.42578125" style="1080" customWidth="1"/>
    <col min="1807" max="2048" width="8" style="1080"/>
    <col min="2049" max="2049" width="24.42578125" style="1080" customWidth="1"/>
    <col min="2050" max="2050" width="9.28515625" style="1080" bestFit="1" customWidth="1"/>
    <col min="2051" max="2061" width="8.5703125" style="1080" customWidth="1"/>
    <col min="2062" max="2062" width="3.42578125" style="1080" customWidth="1"/>
    <col min="2063" max="2304" width="8" style="1080"/>
    <col min="2305" max="2305" width="24.42578125" style="1080" customWidth="1"/>
    <col min="2306" max="2306" width="9.28515625" style="1080" bestFit="1" customWidth="1"/>
    <col min="2307" max="2317" width="8.5703125" style="1080" customWidth="1"/>
    <col min="2318" max="2318" width="3.42578125" style="1080" customWidth="1"/>
    <col min="2319" max="2560" width="8" style="1080"/>
    <col min="2561" max="2561" width="24.42578125" style="1080" customWidth="1"/>
    <col min="2562" max="2562" width="9.28515625" style="1080" bestFit="1" customWidth="1"/>
    <col min="2563" max="2573" width="8.5703125" style="1080" customWidth="1"/>
    <col min="2574" max="2574" width="3.42578125" style="1080" customWidth="1"/>
    <col min="2575" max="2816" width="8" style="1080"/>
    <col min="2817" max="2817" width="24.42578125" style="1080" customWidth="1"/>
    <col min="2818" max="2818" width="9.28515625" style="1080" bestFit="1" customWidth="1"/>
    <col min="2819" max="2829" width="8.5703125" style="1080" customWidth="1"/>
    <col min="2830" max="2830" width="3.42578125" style="1080" customWidth="1"/>
    <col min="2831" max="3072" width="8" style="1080"/>
    <col min="3073" max="3073" width="24.42578125" style="1080" customWidth="1"/>
    <col min="3074" max="3074" width="9.28515625" style="1080" bestFit="1" customWidth="1"/>
    <col min="3075" max="3085" width="8.5703125" style="1080" customWidth="1"/>
    <col min="3086" max="3086" width="3.42578125" style="1080" customWidth="1"/>
    <col min="3087" max="3328" width="8" style="1080"/>
    <col min="3329" max="3329" width="24.42578125" style="1080" customWidth="1"/>
    <col min="3330" max="3330" width="9.28515625" style="1080" bestFit="1" customWidth="1"/>
    <col min="3331" max="3341" width="8.5703125" style="1080" customWidth="1"/>
    <col min="3342" max="3342" width="3.42578125" style="1080" customWidth="1"/>
    <col min="3343" max="3584" width="8" style="1080"/>
    <col min="3585" max="3585" width="24.42578125" style="1080" customWidth="1"/>
    <col min="3586" max="3586" width="9.28515625" style="1080" bestFit="1" customWidth="1"/>
    <col min="3587" max="3597" width="8.5703125" style="1080" customWidth="1"/>
    <col min="3598" max="3598" width="3.42578125" style="1080" customWidth="1"/>
    <col min="3599" max="3840" width="8" style="1080"/>
    <col min="3841" max="3841" width="24.42578125" style="1080" customWidth="1"/>
    <col min="3842" max="3842" width="9.28515625" style="1080" bestFit="1" customWidth="1"/>
    <col min="3843" max="3853" width="8.5703125" style="1080" customWidth="1"/>
    <col min="3854" max="3854" width="3.42578125" style="1080" customWidth="1"/>
    <col min="3855" max="4096" width="8" style="1080"/>
    <col min="4097" max="4097" width="24.42578125" style="1080" customWidth="1"/>
    <col min="4098" max="4098" width="9.28515625" style="1080" bestFit="1" customWidth="1"/>
    <col min="4099" max="4109" width="8.5703125" style="1080" customWidth="1"/>
    <col min="4110" max="4110" width="3.42578125" style="1080" customWidth="1"/>
    <col min="4111" max="4352" width="8" style="1080"/>
    <col min="4353" max="4353" width="24.42578125" style="1080" customWidth="1"/>
    <col min="4354" max="4354" width="9.28515625" style="1080" bestFit="1" customWidth="1"/>
    <col min="4355" max="4365" width="8.5703125" style="1080" customWidth="1"/>
    <col min="4366" max="4366" width="3.42578125" style="1080" customWidth="1"/>
    <col min="4367" max="4608" width="8" style="1080"/>
    <col min="4609" max="4609" width="24.42578125" style="1080" customWidth="1"/>
    <col min="4610" max="4610" width="9.28515625" style="1080" bestFit="1" customWidth="1"/>
    <col min="4611" max="4621" width="8.5703125" style="1080" customWidth="1"/>
    <col min="4622" max="4622" width="3.42578125" style="1080" customWidth="1"/>
    <col min="4623" max="4864" width="8" style="1080"/>
    <col min="4865" max="4865" width="24.42578125" style="1080" customWidth="1"/>
    <col min="4866" max="4866" width="9.28515625" style="1080" bestFit="1" customWidth="1"/>
    <col min="4867" max="4877" width="8.5703125" style="1080" customWidth="1"/>
    <col min="4878" max="4878" width="3.42578125" style="1080" customWidth="1"/>
    <col min="4879" max="5120" width="8" style="1080"/>
    <col min="5121" max="5121" width="24.42578125" style="1080" customWidth="1"/>
    <col min="5122" max="5122" width="9.28515625" style="1080" bestFit="1" customWidth="1"/>
    <col min="5123" max="5133" width="8.5703125" style="1080" customWidth="1"/>
    <col min="5134" max="5134" width="3.42578125" style="1080" customWidth="1"/>
    <col min="5135" max="5376" width="8" style="1080"/>
    <col min="5377" max="5377" width="24.42578125" style="1080" customWidth="1"/>
    <col min="5378" max="5378" width="9.28515625" style="1080" bestFit="1" customWidth="1"/>
    <col min="5379" max="5389" width="8.5703125" style="1080" customWidth="1"/>
    <col min="5390" max="5390" width="3.42578125" style="1080" customWidth="1"/>
    <col min="5391" max="5632" width="8" style="1080"/>
    <col min="5633" max="5633" width="24.42578125" style="1080" customWidth="1"/>
    <col min="5634" max="5634" width="9.28515625" style="1080" bestFit="1" customWidth="1"/>
    <col min="5635" max="5645" width="8.5703125" style="1080" customWidth="1"/>
    <col min="5646" max="5646" width="3.42578125" style="1080" customWidth="1"/>
    <col min="5647" max="5888" width="8" style="1080"/>
    <col min="5889" max="5889" width="24.42578125" style="1080" customWidth="1"/>
    <col min="5890" max="5890" width="9.28515625" style="1080" bestFit="1" customWidth="1"/>
    <col min="5891" max="5901" width="8.5703125" style="1080" customWidth="1"/>
    <col min="5902" max="5902" width="3.42578125" style="1080" customWidth="1"/>
    <col min="5903" max="6144" width="8" style="1080"/>
    <col min="6145" max="6145" width="24.42578125" style="1080" customWidth="1"/>
    <col min="6146" max="6146" width="9.28515625" style="1080" bestFit="1" customWidth="1"/>
    <col min="6147" max="6157" width="8.5703125" style="1080" customWidth="1"/>
    <col min="6158" max="6158" width="3.42578125" style="1080" customWidth="1"/>
    <col min="6159" max="6400" width="8" style="1080"/>
    <col min="6401" max="6401" width="24.42578125" style="1080" customWidth="1"/>
    <col min="6402" max="6402" width="9.28515625" style="1080" bestFit="1" customWidth="1"/>
    <col min="6403" max="6413" width="8.5703125" style="1080" customWidth="1"/>
    <col min="6414" max="6414" width="3.42578125" style="1080" customWidth="1"/>
    <col min="6415" max="6656" width="8" style="1080"/>
    <col min="6657" max="6657" width="24.42578125" style="1080" customWidth="1"/>
    <col min="6658" max="6658" width="9.28515625" style="1080" bestFit="1" customWidth="1"/>
    <col min="6659" max="6669" width="8.5703125" style="1080" customWidth="1"/>
    <col min="6670" max="6670" width="3.42578125" style="1080" customWidth="1"/>
    <col min="6671" max="6912" width="8" style="1080"/>
    <col min="6913" max="6913" width="24.42578125" style="1080" customWidth="1"/>
    <col min="6914" max="6914" width="9.28515625" style="1080" bestFit="1" customWidth="1"/>
    <col min="6915" max="6925" width="8.5703125" style="1080" customWidth="1"/>
    <col min="6926" max="6926" width="3.42578125" style="1080" customWidth="1"/>
    <col min="6927" max="7168" width="8" style="1080"/>
    <col min="7169" max="7169" width="24.42578125" style="1080" customWidth="1"/>
    <col min="7170" max="7170" width="9.28515625" style="1080" bestFit="1" customWidth="1"/>
    <col min="7171" max="7181" width="8.5703125" style="1080" customWidth="1"/>
    <col min="7182" max="7182" width="3.42578125" style="1080" customWidth="1"/>
    <col min="7183" max="7424" width="8" style="1080"/>
    <col min="7425" max="7425" width="24.42578125" style="1080" customWidth="1"/>
    <col min="7426" max="7426" width="9.28515625" style="1080" bestFit="1" customWidth="1"/>
    <col min="7427" max="7437" width="8.5703125" style="1080" customWidth="1"/>
    <col min="7438" max="7438" width="3.42578125" style="1080" customWidth="1"/>
    <col min="7439" max="7680" width="8" style="1080"/>
    <col min="7681" max="7681" width="24.42578125" style="1080" customWidth="1"/>
    <col min="7682" max="7682" width="9.28515625" style="1080" bestFit="1" customWidth="1"/>
    <col min="7683" max="7693" width="8.5703125" style="1080" customWidth="1"/>
    <col min="7694" max="7694" width="3.42578125" style="1080" customWidth="1"/>
    <col min="7695" max="7936" width="8" style="1080"/>
    <col min="7937" max="7937" width="24.42578125" style="1080" customWidth="1"/>
    <col min="7938" max="7938" width="9.28515625" style="1080" bestFit="1" customWidth="1"/>
    <col min="7939" max="7949" width="8.5703125" style="1080" customWidth="1"/>
    <col min="7950" max="7950" width="3.42578125" style="1080" customWidth="1"/>
    <col min="7951" max="8192" width="8" style="1080"/>
    <col min="8193" max="8193" width="24.42578125" style="1080" customWidth="1"/>
    <col min="8194" max="8194" width="9.28515625" style="1080" bestFit="1" customWidth="1"/>
    <col min="8195" max="8205" width="8.5703125" style="1080" customWidth="1"/>
    <col min="8206" max="8206" width="3.42578125" style="1080" customWidth="1"/>
    <col min="8207" max="8448" width="8" style="1080"/>
    <col min="8449" max="8449" width="24.42578125" style="1080" customWidth="1"/>
    <col min="8450" max="8450" width="9.28515625" style="1080" bestFit="1" customWidth="1"/>
    <col min="8451" max="8461" width="8.5703125" style="1080" customWidth="1"/>
    <col min="8462" max="8462" width="3.42578125" style="1080" customWidth="1"/>
    <col min="8463" max="8704" width="8" style="1080"/>
    <col min="8705" max="8705" width="24.42578125" style="1080" customWidth="1"/>
    <col min="8706" max="8706" width="9.28515625" style="1080" bestFit="1" customWidth="1"/>
    <col min="8707" max="8717" width="8.5703125" style="1080" customWidth="1"/>
    <col min="8718" max="8718" width="3.42578125" style="1080" customWidth="1"/>
    <col min="8719" max="8960" width="8" style="1080"/>
    <col min="8961" max="8961" width="24.42578125" style="1080" customWidth="1"/>
    <col min="8962" max="8962" width="9.28515625" style="1080" bestFit="1" customWidth="1"/>
    <col min="8963" max="8973" width="8.5703125" style="1080" customWidth="1"/>
    <col min="8974" max="8974" width="3.42578125" style="1080" customWidth="1"/>
    <col min="8975" max="9216" width="8" style="1080"/>
    <col min="9217" max="9217" width="24.42578125" style="1080" customWidth="1"/>
    <col min="9218" max="9218" width="9.28515625" style="1080" bestFit="1" customWidth="1"/>
    <col min="9219" max="9229" width="8.5703125" style="1080" customWidth="1"/>
    <col min="9230" max="9230" width="3.42578125" style="1080" customWidth="1"/>
    <col min="9231" max="9472" width="8" style="1080"/>
    <col min="9473" max="9473" width="24.42578125" style="1080" customWidth="1"/>
    <col min="9474" max="9474" width="9.28515625" style="1080" bestFit="1" customWidth="1"/>
    <col min="9475" max="9485" width="8.5703125" style="1080" customWidth="1"/>
    <col min="9486" max="9486" width="3.42578125" style="1080" customWidth="1"/>
    <col min="9487" max="9728" width="8" style="1080"/>
    <col min="9729" max="9729" width="24.42578125" style="1080" customWidth="1"/>
    <col min="9730" max="9730" width="9.28515625" style="1080" bestFit="1" customWidth="1"/>
    <col min="9731" max="9741" width="8.5703125" style="1080" customWidth="1"/>
    <col min="9742" max="9742" width="3.42578125" style="1080" customWidth="1"/>
    <col min="9743" max="9984" width="8" style="1080"/>
    <col min="9985" max="9985" width="24.42578125" style="1080" customWidth="1"/>
    <col min="9986" max="9986" width="9.28515625" style="1080" bestFit="1" customWidth="1"/>
    <col min="9987" max="9997" width="8.5703125" style="1080" customWidth="1"/>
    <col min="9998" max="9998" width="3.42578125" style="1080" customWidth="1"/>
    <col min="9999" max="10240" width="8" style="1080"/>
    <col min="10241" max="10241" width="24.42578125" style="1080" customWidth="1"/>
    <col min="10242" max="10242" width="9.28515625" style="1080" bestFit="1" customWidth="1"/>
    <col min="10243" max="10253" width="8.5703125" style="1080" customWidth="1"/>
    <col min="10254" max="10254" width="3.42578125" style="1080" customWidth="1"/>
    <col min="10255" max="10496" width="8" style="1080"/>
    <col min="10497" max="10497" width="24.42578125" style="1080" customWidth="1"/>
    <col min="10498" max="10498" width="9.28515625" style="1080" bestFit="1" customWidth="1"/>
    <col min="10499" max="10509" width="8.5703125" style="1080" customWidth="1"/>
    <col min="10510" max="10510" width="3.42578125" style="1080" customWidth="1"/>
    <col min="10511" max="10752" width="8" style="1080"/>
    <col min="10753" max="10753" width="24.42578125" style="1080" customWidth="1"/>
    <col min="10754" max="10754" width="9.28515625" style="1080" bestFit="1" customWidth="1"/>
    <col min="10755" max="10765" width="8.5703125" style="1080" customWidth="1"/>
    <col min="10766" max="10766" width="3.42578125" style="1080" customWidth="1"/>
    <col min="10767" max="11008" width="8" style="1080"/>
    <col min="11009" max="11009" width="24.42578125" style="1080" customWidth="1"/>
    <col min="11010" max="11010" width="9.28515625" style="1080" bestFit="1" customWidth="1"/>
    <col min="11011" max="11021" width="8.5703125" style="1080" customWidth="1"/>
    <col min="11022" max="11022" width="3.42578125" style="1080" customWidth="1"/>
    <col min="11023" max="11264" width="8" style="1080"/>
    <col min="11265" max="11265" width="24.42578125" style="1080" customWidth="1"/>
    <col min="11266" max="11266" width="9.28515625" style="1080" bestFit="1" customWidth="1"/>
    <col min="11267" max="11277" width="8.5703125" style="1080" customWidth="1"/>
    <col min="11278" max="11278" width="3.42578125" style="1080" customWidth="1"/>
    <col min="11279" max="11520" width="8" style="1080"/>
    <col min="11521" max="11521" width="24.42578125" style="1080" customWidth="1"/>
    <col min="11522" max="11522" width="9.28515625" style="1080" bestFit="1" customWidth="1"/>
    <col min="11523" max="11533" width="8.5703125" style="1080" customWidth="1"/>
    <col min="11534" max="11534" width="3.42578125" style="1080" customWidth="1"/>
    <col min="11535" max="11776" width="8" style="1080"/>
    <col min="11777" max="11777" width="24.42578125" style="1080" customWidth="1"/>
    <col min="11778" max="11778" width="9.28515625" style="1080" bestFit="1" customWidth="1"/>
    <col min="11779" max="11789" width="8.5703125" style="1080" customWidth="1"/>
    <col min="11790" max="11790" width="3.42578125" style="1080" customWidth="1"/>
    <col min="11791" max="12032" width="8" style="1080"/>
    <col min="12033" max="12033" width="24.42578125" style="1080" customWidth="1"/>
    <col min="12034" max="12034" width="9.28515625" style="1080" bestFit="1" customWidth="1"/>
    <col min="12035" max="12045" width="8.5703125" style="1080" customWidth="1"/>
    <col min="12046" max="12046" width="3.42578125" style="1080" customWidth="1"/>
    <col min="12047" max="12288" width="8" style="1080"/>
    <col min="12289" max="12289" width="24.42578125" style="1080" customWidth="1"/>
    <col min="12290" max="12290" width="9.28515625" style="1080" bestFit="1" customWidth="1"/>
    <col min="12291" max="12301" width="8.5703125" style="1080" customWidth="1"/>
    <col min="12302" max="12302" width="3.42578125" style="1080" customWidth="1"/>
    <col min="12303" max="12544" width="8" style="1080"/>
    <col min="12545" max="12545" width="24.42578125" style="1080" customWidth="1"/>
    <col min="12546" max="12546" width="9.28515625" style="1080" bestFit="1" customWidth="1"/>
    <col min="12547" max="12557" width="8.5703125" style="1080" customWidth="1"/>
    <col min="12558" max="12558" width="3.42578125" style="1080" customWidth="1"/>
    <col min="12559" max="12800" width="8" style="1080"/>
    <col min="12801" max="12801" width="24.42578125" style="1080" customWidth="1"/>
    <col min="12802" max="12802" width="9.28515625" style="1080" bestFit="1" customWidth="1"/>
    <col min="12803" max="12813" width="8.5703125" style="1080" customWidth="1"/>
    <col min="12814" max="12814" width="3.42578125" style="1080" customWidth="1"/>
    <col min="12815" max="13056" width="8" style="1080"/>
    <col min="13057" max="13057" width="24.42578125" style="1080" customWidth="1"/>
    <col min="13058" max="13058" width="9.28515625" style="1080" bestFit="1" customWidth="1"/>
    <col min="13059" max="13069" width="8.5703125" style="1080" customWidth="1"/>
    <col min="13070" max="13070" width="3.42578125" style="1080" customWidth="1"/>
    <col min="13071" max="13312" width="8" style="1080"/>
    <col min="13313" max="13313" width="24.42578125" style="1080" customWidth="1"/>
    <col min="13314" max="13314" width="9.28515625" style="1080" bestFit="1" customWidth="1"/>
    <col min="13315" max="13325" width="8.5703125" style="1080" customWidth="1"/>
    <col min="13326" max="13326" width="3.42578125" style="1080" customWidth="1"/>
    <col min="13327" max="13568" width="8" style="1080"/>
    <col min="13569" max="13569" width="24.42578125" style="1080" customWidth="1"/>
    <col min="13570" max="13570" width="9.28515625" style="1080" bestFit="1" customWidth="1"/>
    <col min="13571" max="13581" width="8.5703125" style="1080" customWidth="1"/>
    <col min="13582" max="13582" width="3.42578125" style="1080" customWidth="1"/>
    <col min="13583" max="13824" width="8" style="1080"/>
    <col min="13825" max="13825" width="24.42578125" style="1080" customWidth="1"/>
    <col min="13826" max="13826" width="9.28515625" style="1080" bestFit="1" customWidth="1"/>
    <col min="13827" max="13837" width="8.5703125" style="1080" customWidth="1"/>
    <col min="13838" max="13838" width="3.42578125" style="1080" customWidth="1"/>
    <col min="13839" max="14080" width="8" style="1080"/>
    <col min="14081" max="14081" width="24.42578125" style="1080" customWidth="1"/>
    <col min="14082" max="14082" width="9.28515625" style="1080" bestFit="1" customWidth="1"/>
    <col min="14083" max="14093" width="8.5703125" style="1080" customWidth="1"/>
    <col min="14094" max="14094" width="3.42578125" style="1080" customWidth="1"/>
    <col min="14095" max="14336" width="8" style="1080"/>
    <col min="14337" max="14337" width="24.42578125" style="1080" customWidth="1"/>
    <col min="14338" max="14338" width="9.28515625" style="1080" bestFit="1" customWidth="1"/>
    <col min="14339" max="14349" width="8.5703125" style="1080" customWidth="1"/>
    <col min="14350" max="14350" width="3.42578125" style="1080" customWidth="1"/>
    <col min="14351" max="14592" width="8" style="1080"/>
    <col min="14593" max="14593" width="24.42578125" style="1080" customWidth="1"/>
    <col min="14594" max="14594" width="9.28515625" style="1080" bestFit="1" customWidth="1"/>
    <col min="14595" max="14605" width="8.5703125" style="1080" customWidth="1"/>
    <col min="14606" max="14606" width="3.42578125" style="1080" customWidth="1"/>
    <col min="14607" max="14848" width="8" style="1080"/>
    <col min="14849" max="14849" width="24.42578125" style="1080" customWidth="1"/>
    <col min="14850" max="14850" width="9.28515625" style="1080" bestFit="1" customWidth="1"/>
    <col min="14851" max="14861" width="8.5703125" style="1080" customWidth="1"/>
    <col min="14862" max="14862" width="3.42578125" style="1080" customWidth="1"/>
    <col min="14863" max="15104" width="8" style="1080"/>
    <col min="15105" max="15105" width="24.42578125" style="1080" customWidth="1"/>
    <col min="15106" max="15106" width="9.28515625" style="1080" bestFit="1" customWidth="1"/>
    <col min="15107" max="15117" width="8.5703125" style="1080" customWidth="1"/>
    <col min="15118" max="15118" width="3.42578125" style="1080" customWidth="1"/>
    <col min="15119" max="15360" width="8" style="1080"/>
    <col min="15361" max="15361" width="24.42578125" style="1080" customWidth="1"/>
    <col min="15362" max="15362" width="9.28515625" style="1080" bestFit="1" customWidth="1"/>
    <col min="15363" max="15373" width="8.5703125" style="1080" customWidth="1"/>
    <col min="15374" max="15374" width="3.42578125" style="1080" customWidth="1"/>
    <col min="15375" max="15616" width="8" style="1080"/>
    <col min="15617" max="15617" width="24.42578125" style="1080" customWidth="1"/>
    <col min="15618" max="15618" width="9.28515625" style="1080" bestFit="1" customWidth="1"/>
    <col min="15619" max="15629" width="8.5703125" style="1080" customWidth="1"/>
    <col min="15630" max="15630" width="3.42578125" style="1080" customWidth="1"/>
    <col min="15631" max="15872" width="8" style="1080"/>
    <col min="15873" max="15873" width="24.42578125" style="1080" customWidth="1"/>
    <col min="15874" max="15874" width="9.28515625" style="1080" bestFit="1" customWidth="1"/>
    <col min="15875" max="15885" width="8.5703125" style="1080" customWidth="1"/>
    <col min="15886" max="15886" width="3.42578125" style="1080" customWidth="1"/>
    <col min="15887" max="16128" width="8" style="1080"/>
    <col min="16129" max="16129" width="24.42578125" style="1080" customWidth="1"/>
    <col min="16130" max="16130" width="9.28515625" style="1080" bestFit="1" customWidth="1"/>
    <col min="16131" max="16141" width="8.5703125" style="1080" customWidth="1"/>
    <col min="16142" max="16142" width="3.42578125" style="1080" customWidth="1"/>
    <col min="16143" max="16384" width="8" style="1080"/>
  </cols>
  <sheetData>
    <row r="1" spans="1:14" ht="39.75" customHeight="1" x14ac:dyDescent="0.2">
      <c r="A1" s="1167" t="s">
        <v>782</v>
      </c>
      <c r="B1" s="1167"/>
      <c r="C1" s="1167"/>
      <c r="D1" s="1168" t="s">
        <v>785</v>
      </c>
      <c r="E1" s="1169"/>
      <c r="F1" s="1169"/>
      <c r="G1" s="1169"/>
      <c r="H1" s="1169"/>
      <c r="I1" s="1169"/>
      <c r="J1" s="1169"/>
      <c r="K1" s="1169"/>
      <c r="L1" s="1169"/>
      <c r="M1" s="1169"/>
      <c r="N1" s="1170" t="s">
        <v>825</v>
      </c>
    </row>
    <row r="2" spans="1:14" ht="15.75" customHeight="1" thickBot="1" x14ac:dyDescent="0.25">
      <c r="A2" s="1171"/>
      <c r="B2" s="1171"/>
      <c r="C2" s="1171"/>
      <c r="D2" s="1171"/>
      <c r="E2" s="1171"/>
      <c r="F2" s="1171"/>
      <c r="G2" s="1171"/>
      <c r="H2" s="1171"/>
      <c r="I2" s="1171"/>
      <c r="J2" s="1171"/>
      <c r="K2" s="1171"/>
      <c r="L2" s="1172" t="s">
        <v>489</v>
      </c>
      <c r="M2" s="1172"/>
      <c r="N2" s="1170"/>
    </row>
    <row r="3" spans="1:14" ht="13.5" thickBot="1" x14ac:dyDescent="0.25">
      <c r="A3" s="1173" t="s">
        <v>249</v>
      </c>
      <c r="B3" s="1176" t="s">
        <v>200</v>
      </c>
      <c r="C3" s="1176"/>
      <c r="D3" s="1176"/>
      <c r="E3" s="1176"/>
      <c r="F3" s="1176"/>
      <c r="G3" s="1176"/>
      <c r="H3" s="1176"/>
      <c r="I3" s="1176"/>
      <c r="J3" s="1177" t="s">
        <v>221</v>
      </c>
      <c r="K3" s="1177"/>
      <c r="L3" s="1177"/>
      <c r="M3" s="1177"/>
      <c r="N3" s="1170"/>
    </row>
    <row r="4" spans="1:14" ht="15" customHeight="1" thickBot="1" x14ac:dyDescent="0.25">
      <c r="A4" s="1174"/>
      <c r="B4" s="1179" t="s">
        <v>222</v>
      </c>
      <c r="C4" s="1180" t="s">
        <v>223</v>
      </c>
      <c r="D4" s="1183" t="s">
        <v>201</v>
      </c>
      <c r="E4" s="1183"/>
      <c r="F4" s="1183"/>
      <c r="G4" s="1183"/>
      <c r="H4" s="1183"/>
      <c r="I4" s="1183"/>
      <c r="J4" s="1178"/>
      <c r="K4" s="1178"/>
      <c r="L4" s="1178"/>
      <c r="M4" s="1178"/>
      <c r="N4" s="1170"/>
    </row>
    <row r="5" spans="1:14" ht="21.75" thickBot="1" x14ac:dyDescent="0.25">
      <c r="A5" s="1174"/>
      <c r="B5" s="1179"/>
      <c r="C5" s="1180"/>
      <c r="D5" s="1081" t="s">
        <v>222</v>
      </c>
      <c r="E5" s="1081" t="s">
        <v>223</v>
      </c>
      <c r="F5" s="1081" t="s">
        <v>222</v>
      </c>
      <c r="G5" s="1081" t="s">
        <v>223</v>
      </c>
      <c r="H5" s="1081" t="s">
        <v>222</v>
      </c>
      <c r="I5" s="1081" t="s">
        <v>223</v>
      </c>
      <c r="J5" s="1178"/>
      <c r="K5" s="1178"/>
      <c r="L5" s="1178"/>
      <c r="M5" s="1178"/>
      <c r="N5" s="1170"/>
    </row>
    <row r="6" spans="1:14" ht="32.25" thickBot="1" x14ac:dyDescent="0.25">
      <c r="A6" s="1175"/>
      <c r="B6" s="1180" t="s">
        <v>202</v>
      </c>
      <c r="C6" s="1180"/>
      <c r="D6" s="1180" t="s">
        <v>802</v>
      </c>
      <c r="E6" s="1180"/>
      <c r="F6" s="1180" t="s">
        <v>793</v>
      </c>
      <c r="G6" s="1180"/>
      <c r="H6" s="1179" t="s">
        <v>803</v>
      </c>
      <c r="I6" s="1179"/>
      <c r="J6" s="1082" t="str">
        <f>+D6</f>
        <v>2018. előtt</v>
      </c>
      <c r="K6" s="1081" t="str">
        <f>+F6</f>
        <v>2018. évi</v>
      </c>
      <c r="L6" s="1082" t="s">
        <v>248</v>
      </c>
      <c r="M6" s="1081" t="s">
        <v>804</v>
      </c>
      <c r="N6" s="1170"/>
    </row>
    <row r="7" spans="1:14" ht="13.5" thickBot="1" x14ac:dyDescent="0.25">
      <c r="A7" s="1083" t="s">
        <v>446</v>
      </c>
      <c r="B7" s="1082" t="s">
        <v>447</v>
      </c>
      <c r="C7" s="1082" t="s">
        <v>448</v>
      </c>
      <c r="D7" s="1084" t="s">
        <v>449</v>
      </c>
      <c r="E7" s="1081" t="s">
        <v>450</v>
      </c>
      <c r="F7" s="1081" t="s">
        <v>635</v>
      </c>
      <c r="G7" s="1081" t="s">
        <v>636</v>
      </c>
      <c r="H7" s="1082" t="s">
        <v>637</v>
      </c>
      <c r="I7" s="1084" t="s">
        <v>638</v>
      </c>
      <c r="J7" s="1084" t="s">
        <v>670</v>
      </c>
      <c r="K7" s="1084" t="s">
        <v>671</v>
      </c>
      <c r="L7" s="1084" t="s">
        <v>672</v>
      </c>
      <c r="M7" s="1085" t="s">
        <v>673</v>
      </c>
      <c r="N7" s="1170"/>
    </row>
    <row r="8" spans="1:14" x14ac:dyDescent="0.2">
      <c r="A8" s="1086" t="s">
        <v>203</v>
      </c>
      <c r="B8" s="1087"/>
      <c r="C8" s="1088"/>
      <c r="D8" s="1088"/>
      <c r="E8" s="1089"/>
      <c r="F8" s="1088"/>
      <c r="G8" s="1088"/>
      <c r="H8" s="1088"/>
      <c r="I8" s="1088"/>
      <c r="J8" s="1088"/>
      <c r="K8" s="1088"/>
      <c r="L8" s="1090">
        <f t="shared" ref="L8:L14" si="0">+J8+K8</f>
        <v>0</v>
      </c>
      <c r="M8" s="1091" t="str">
        <f t="shared" ref="M8:M15" si="1">IF((C8&lt;&gt;0),ROUND((L8/C8)*100,1),"")</f>
        <v/>
      </c>
      <c r="N8" s="1170"/>
    </row>
    <row r="9" spans="1:14" x14ac:dyDescent="0.2">
      <c r="A9" s="1092" t="s">
        <v>206</v>
      </c>
      <c r="B9" s="1093"/>
      <c r="C9" s="1094"/>
      <c r="D9" s="1094"/>
      <c r="E9" s="1094"/>
      <c r="F9" s="1094"/>
      <c r="G9" s="1094"/>
      <c r="H9" s="1094"/>
      <c r="I9" s="1094"/>
      <c r="J9" s="1094"/>
      <c r="K9" s="1094"/>
      <c r="L9" s="1095">
        <f t="shared" si="0"/>
        <v>0</v>
      </c>
      <c r="M9" s="1096" t="str">
        <f t="shared" si="1"/>
        <v/>
      </c>
      <c r="N9" s="1170"/>
    </row>
    <row r="10" spans="1:14" x14ac:dyDescent="0.2">
      <c r="A10" s="1097" t="s">
        <v>207</v>
      </c>
      <c r="B10" s="1098">
        <v>15956160</v>
      </c>
      <c r="C10" s="1099">
        <v>15956160</v>
      </c>
      <c r="D10" s="1099">
        <v>15956160</v>
      </c>
      <c r="E10" s="1099">
        <v>15956160</v>
      </c>
      <c r="F10" s="1099"/>
      <c r="G10" s="1099"/>
      <c r="H10" s="1099"/>
      <c r="I10" s="1099"/>
      <c r="J10" s="1099">
        <v>15956160</v>
      </c>
      <c r="K10" s="1099"/>
      <c r="L10" s="1095">
        <v>15956160</v>
      </c>
      <c r="M10" s="1096">
        <f t="shared" si="1"/>
        <v>100</v>
      </c>
      <c r="N10" s="1170"/>
    </row>
    <row r="11" spans="1:14" x14ac:dyDescent="0.2">
      <c r="A11" s="1097" t="s">
        <v>208</v>
      </c>
      <c r="B11" s="1098"/>
      <c r="C11" s="1099"/>
      <c r="D11" s="1099"/>
      <c r="E11" s="1099"/>
      <c r="F11" s="1099"/>
      <c r="G11" s="1099"/>
      <c r="H11" s="1099"/>
      <c r="I11" s="1099"/>
      <c r="J11" s="1099"/>
      <c r="K11" s="1099"/>
      <c r="L11" s="1095"/>
      <c r="M11" s="1096" t="str">
        <f t="shared" si="1"/>
        <v/>
      </c>
      <c r="N11" s="1170"/>
    </row>
    <row r="12" spans="1:14" x14ac:dyDescent="0.2">
      <c r="A12" s="1097" t="s">
        <v>209</v>
      </c>
      <c r="B12" s="1098"/>
      <c r="C12" s="1099"/>
      <c r="D12" s="1099"/>
      <c r="E12" s="1099"/>
      <c r="F12" s="1099"/>
      <c r="G12" s="1099"/>
      <c r="H12" s="1099"/>
      <c r="I12" s="1099"/>
      <c r="J12" s="1099"/>
      <c r="K12" s="1099"/>
      <c r="L12" s="1095">
        <f t="shared" si="0"/>
        <v>0</v>
      </c>
      <c r="M12" s="1096" t="str">
        <f t="shared" si="1"/>
        <v/>
      </c>
      <c r="N12" s="1170"/>
    </row>
    <row r="13" spans="1:14" x14ac:dyDescent="0.2">
      <c r="A13" s="1097" t="s">
        <v>210</v>
      </c>
      <c r="B13" s="1098"/>
      <c r="C13" s="1099"/>
      <c r="D13" s="1099"/>
      <c r="E13" s="1099"/>
      <c r="F13" s="1099"/>
      <c r="G13" s="1099"/>
      <c r="H13" s="1099"/>
      <c r="I13" s="1099"/>
      <c r="J13" s="1099"/>
      <c r="K13" s="1099"/>
      <c r="L13" s="1095">
        <f t="shared" si="0"/>
        <v>0</v>
      </c>
      <c r="M13" s="1096" t="str">
        <f t="shared" si="1"/>
        <v/>
      </c>
      <c r="N13" s="1170"/>
    </row>
    <row r="14" spans="1:14" ht="15" customHeight="1" thickBot="1" x14ac:dyDescent="0.25">
      <c r="A14" s="1100"/>
      <c r="B14" s="1101"/>
      <c r="C14" s="1102"/>
      <c r="D14" s="1102"/>
      <c r="E14" s="1102"/>
      <c r="F14" s="1102"/>
      <c r="G14" s="1102"/>
      <c r="H14" s="1102"/>
      <c r="I14" s="1102"/>
      <c r="J14" s="1102"/>
      <c r="K14" s="1102"/>
      <c r="L14" s="1095">
        <f t="shared" si="0"/>
        <v>0</v>
      </c>
      <c r="M14" s="1103" t="str">
        <f t="shared" si="1"/>
        <v/>
      </c>
      <c r="N14" s="1170"/>
    </row>
    <row r="15" spans="1:14" ht="13.5" thickBot="1" x14ac:dyDescent="0.25">
      <c r="A15" s="1104" t="s">
        <v>211</v>
      </c>
      <c r="B15" s="1105">
        <f t="shared" ref="B15:L15" si="2">B8+SUM(B10:B14)</f>
        <v>15956160</v>
      </c>
      <c r="C15" s="1105">
        <f t="shared" si="2"/>
        <v>15956160</v>
      </c>
      <c r="D15" s="1105">
        <f t="shared" si="2"/>
        <v>15956160</v>
      </c>
      <c r="E15" s="1105">
        <f t="shared" si="2"/>
        <v>15956160</v>
      </c>
      <c r="F15" s="1105">
        <f t="shared" si="2"/>
        <v>0</v>
      </c>
      <c r="G15" s="1105">
        <f t="shared" si="2"/>
        <v>0</v>
      </c>
      <c r="H15" s="1105">
        <f t="shared" si="2"/>
        <v>0</v>
      </c>
      <c r="I15" s="1105">
        <f t="shared" si="2"/>
        <v>0</v>
      </c>
      <c r="J15" s="1105">
        <f t="shared" si="2"/>
        <v>15956160</v>
      </c>
      <c r="K15" s="1105">
        <f t="shared" si="2"/>
        <v>0</v>
      </c>
      <c r="L15" s="1105">
        <f t="shared" si="2"/>
        <v>15956160</v>
      </c>
      <c r="M15" s="1106">
        <f t="shared" si="1"/>
        <v>100</v>
      </c>
      <c r="N15" s="1170"/>
    </row>
    <row r="16" spans="1:14" x14ac:dyDescent="0.2">
      <c r="A16" s="1107"/>
      <c r="B16" s="1108"/>
      <c r="C16" s="1109"/>
      <c r="D16" s="1109"/>
      <c r="E16" s="1109"/>
      <c r="F16" s="1109"/>
      <c r="G16" s="1109"/>
      <c r="H16" s="1109"/>
      <c r="I16" s="1109"/>
      <c r="J16" s="1109"/>
      <c r="K16" s="1109"/>
      <c r="L16" s="1109"/>
      <c r="M16" s="1109"/>
      <c r="N16" s="1170"/>
    </row>
    <row r="17" spans="1:14" ht="13.5" thickBot="1" x14ac:dyDescent="0.25">
      <c r="A17" s="1110" t="s">
        <v>212</v>
      </c>
      <c r="B17" s="1111"/>
      <c r="C17" s="1112"/>
      <c r="D17" s="1112"/>
      <c r="E17" s="1112"/>
      <c r="F17" s="1112"/>
      <c r="G17" s="1112"/>
      <c r="H17" s="1112"/>
      <c r="I17" s="1112"/>
      <c r="J17" s="1112"/>
      <c r="K17" s="1112"/>
      <c r="L17" s="1112"/>
      <c r="M17" s="1112"/>
      <c r="N17" s="1170"/>
    </row>
    <row r="18" spans="1:14" x14ac:dyDescent="0.2">
      <c r="A18" s="1113" t="s">
        <v>213</v>
      </c>
      <c r="B18" s="1087"/>
      <c r="C18" s="1088"/>
      <c r="D18" s="1088"/>
      <c r="E18" s="1089"/>
      <c r="F18" s="1088"/>
      <c r="G18" s="1088"/>
      <c r="H18" s="1088"/>
      <c r="I18" s="1088"/>
      <c r="J18" s="1088"/>
      <c r="K18" s="1088"/>
      <c r="L18" s="1114">
        <f t="shared" ref="L18:L23" si="3">+J18+K18</f>
        <v>0</v>
      </c>
      <c r="M18" s="1091" t="str">
        <f t="shared" ref="M18:M24" si="4">IF((C18&lt;&gt;0),ROUND((L18/C18)*100,1),"")</f>
        <v/>
      </c>
      <c r="N18" s="1170"/>
    </row>
    <row r="19" spans="1:14" x14ac:dyDescent="0.2">
      <c r="A19" s="1115" t="s">
        <v>214</v>
      </c>
      <c r="B19" s="1093">
        <v>15000000</v>
      </c>
      <c r="C19" s="1099">
        <v>15000000</v>
      </c>
      <c r="D19" s="1099"/>
      <c r="E19" s="1099"/>
      <c r="F19" s="1099"/>
      <c r="G19" s="1099"/>
      <c r="H19" s="1099">
        <v>15000000</v>
      </c>
      <c r="I19" s="1099">
        <v>15000000</v>
      </c>
      <c r="J19" s="1099"/>
      <c r="K19" s="1099"/>
      <c r="L19" s="1116"/>
      <c r="M19" s="1128">
        <f t="shared" si="4"/>
        <v>0</v>
      </c>
      <c r="N19" s="1170"/>
    </row>
    <row r="20" spans="1:14" x14ac:dyDescent="0.2">
      <c r="A20" s="1115" t="s">
        <v>215</v>
      </c>
      <c r="B20" s="1098">
        <v>956160</v>
      </c>
      <c r="C20" s="1099">
        <v>956160</v>
      </c>
      <c r="D20" s="1099"/>
      <c r="E20" s="1099"/>
      <c r="F20" s="1099">
        <v>797160</v>
      </c>
      <c r="G20" s="1099">
        <v>797160</v>
      </c>
      <c r="H20" s="1099">
        <v>159000</v>
      </c>
      <c r="I20" s="1099">
        <v>159000</v>
      </c>
      <c r="J20" s="1099"/>
      <c r="K20" s="1099">
        <v>797160</v>
      </c>
      <c r="L20" s="1116">
        <v>797160</v>
      </c>
      <c r="M20" s="1128">
        <f t="shared" si="4"/>
        <v>83.4</v>
      </c>
      <c r="N20" s="1170"/>
    </row>
    <row r="21" spans="1:14" x14ac:dyDescent="0.2">
      <c r="A21" s="1115" t="s">
        <v>216</v>
      </c>
      <c r="B21" s="1098"/>
      <c r="C21" s="1099"/>
      <c r="D21" s="1099"/>
      <c r="E21" s="1099"/>
      <c r="F21" s="1099"/>
      <c r="G21" s="1099"/>
      <c r="H21" s="1099"/>
      <c r="I21" s="1099"/>
      <c r="J21" s="1099"/>
      <c r="K21" s="1099"/>
      <c r="L21" s="1116"/>
      <c r="M21" s="1096" t="str">
        <f t="shared" si="4"/>
        <v/>
      </c>
      <c r="N21" s="1170"/>
    </row>
    <row r="22" spans="1:14" x14ac:dyDescent="0.2">
      <c r="A22" s="1117"/>
      <c r="B22" s="1098"/>
      <c r="C22" s="1099"/>
      <c r="D22" s="1099"/>
      <c r="E22" s="1099"/>
      <c r="F22" s="1099"/>
      <c r="G22" s="1099"/>
      <c r="H22" s="1099"/>
      <c r="I22" s="1099"/>
      <c r="J22" s="1099"/>
      <c r="K22" s="1099"/>
      <c r="L22" s="1116">
        <f t="shared" si="3"/>
        <v>0</v>
      </c>
      <c r="M22" s="1096" t="str">
        <f t="shared" si="4"/>
        <v/>
      </c>
      <c r="N22" s="1170"/>
    </row>
    <row r="23" spans="1:14" ht="13.5" thickBot="1" x14ac:dyDescent="0.25">
      <c r="A23" s="1118"/>
      <c r="B23" s="1101"/>
      <c r="C23" s="1102"/>
      <c r="D23" s="1102"/>
      <c r="E23" s="1102"/>
      <c r="F23" s="1102"/>
      <c r="G23" s="1102"/>
      <c r="H23" s="1102"/>
      <c r="I23" s="1102"/>
      <c r="J23" s="1102"/>
      <c r="K23" s="1102"/>
      <c r="L23" s="1116">
        <f t="shared" si="3"/>
        <v>0</v>
      </c>
      <c r="M23" s="1103" t="str">
        <f t="shared" si="4"/>
        <v/>
      </c>
      <c r="N23" s="1170"/>
    </row>
    <row r="24" spans="1:14" ht="13.5" thickBot="1" x14ac:dyDescent="0.25">
      <c r="A24" s="1119" t="s">
        <v>218</v>
      </c>
      <c r="B24" s="1105">
        <f t="shared" ref="B24:L24" si="5">SUM(B18:B23)</f>
        <v>15956160</v>
      </c>
      <c r="C24" s="1105">
        <f t="shared" si="5"/>
        <v>15956160</v>
      </c>
      <c r="D24" s="1105">
        <f t="shared" si="5"/>
        <v>0</v>
      </c>
      <c r="E24" s="1105">
        <f t="shared" si="5"/>
        <v>0</v>
      </c>
      <c r="F24" s="1105">
        <f t="shared" si="5"/>
        <v>797160</v>
      </c>
      <c r="G24" s="1105">
        <f t="shared" si="5"/>
        <v>797160</v>
      </c>
      <c r="H24" s="1105">
        <f t="shared" si="5"/>
        <v>15159000</v>
      </c>
      <c r="I24" s="1105">
        <f t="shared" si="5"/>
        <v>15159000</v>
      </c>
      <c r="J24" s="1105">
        <f t="shared" si="5"/>
        <v>0</v>
      </c>
      <c r="K24" s="1105">
        <f t="shared" si="5"/>
        <v>797160</v>
      </c>
      <c r="L24" s="1105">
        <f t="shared" si="5"/>
        <v>797160</v>
      </c>
      <c r="M24" s="1106">
        <f t="shared" si="4"/>
        <v>5</v>
      </c>
      <c r="N24" s="1170"/>
    </row>
    <row r="25" spans="1:14" x14ac:dyDescent="0.2">
      <c r="A25" s="1186" t="s">
        <v>674</v>
      </c>
      <c r="B25" s="1186"/>
      <c r="C25" s="1186"/>
      <c r="D25" s="1186"/>
      <c r="E25" s="1186"/>
      <c r="F25" s="1186"/>
      <c r="G25" s="1186"/>
      <c r="H25" s="1186"/>
      <c r="I25" s="1186"/>
      <c r="J25" s="1186"/>
      <c r="K25" s="1186"/>
      <c r="L25" s="1186"/>
      <c r="M25" s="1186"/>
      <c r="N25" s="1170"/>
    </row>
    <row r="26" spans="1:14" ht="5.25" customHeight="1" x14ac:dyDescent="0.2">
      <c r="A26" s="1120"/>
      <c r="B26" s="1120"/>
      <c r="C26" s="1120"/>
      <c r="D26" s="1120"/>
      <c r="E26" s="1120"/>
      <c r="F26" s="1120"/>
      <c r="G26" s="1120"/>
      <c r="H26" s="1120"/>
      <c r="I26" s="1120"/>
      <c r="J26" s="1120"/>
      <c r="K26" s="1120"/>
      <c r="L26" s="1120"/>
      <c r="M26" s="1120"/>
      <c r="N26" s="1170"/>
    </row>
    <row r="27" spans="1:14" ht="15.75" x14ac:dyDescent="0.2">
      <c r="A27" s="1187" t="s">
        <v>805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70"/>
    </row>
    <row r="28" spans="1:14" ht="12" customHeight="1" thickBot="1" x14ac:dyDescent="0.25">
      <c r="A28" s="1121"/>
      <c r="B28" s="1121"/>
      <c r="C28" s="1121"/>
      <c r="D28" s="1121"/>
      <c r="E28" s="1121"/>
      <c r="F28" s="1121"/>
      <c r="G28" s="1121"/>
      <c r="H28" s="1121"/>
      <c r="I28" s="1121"/>
      <c r="J28" s="1121"/>
      <c r="K28" s="1121"/>
      <c r="L28" s="1172" t="s">
        <v>489</v>
      </c>
      <c r="M28" s="1172"/>
      <c r="N28" s="1170"/>
    </row>
    <row r="29" spans="1:14" ht="21.75" thickBot="1" x14ac:dyDescent="0.25">
      <c r="A29" s="1188" t="s">
        <v>219</v>
      </c>
      <c r="B29" s="1189"/>
      <c r="C29" s="1189"/>
      <c r="D29" s="1189"/>
      <c r="E29" s="1189"/>
      <c r="F29" s="1189"/>
      <c r="G29" s="1189"/>
      <c r="H29" s="1189"/>
      <c r="I29" s="1189"/>
      <c r="J29" s="1189"/>
      <c r="K29" s="1122" t="s">
        <v>675</v>
      </c>
      <c r="L29" s="1122" t="s">
        <v>676</v>
      </c>
      <c r="M29" s="1122" t="s">
        <v>221</v>
      </c>
      <c r="N29" s="1170"/>
    </row>
    <row r="30" spans="1:14" x14ac:dyDescent="0.2">
      <c r="A30" s="1190"/>
      <c r="B30" s="1191"/>
      <c r="C30" s="1191"/>
      <c r="D30" s="1191"/>
      <c r="E30" s="1191"/>
      <c r="F30" s="1191"/>
      <c r="G30" s="1191"/>
      <c r="H30" s="1191"/>
      <c r="I30" s="1191"/>
      <c r="J30" s="1191"/>
      <c r="K30" s="1089"/>
      <c r="L30" s="1123"/>
      <c r="M30" s="1123"/>
      <c r="N30" s="1170"/>
    </row>
    <row r="31" spans="1:14" ht="13.5" thickBot="1" x14ac:dyDescent="0.25">
      <c r="A31" s="1184"/>
      <c r="B31" s="1185"/>
      <c r="C31" s="1185"/>
      <c r="D31" s="1185"/>
      <c r="E31" s="1185"/>
      <c r="F31" s="1185"/>
      <c r="G31" s="1185"/>
      <c r="H31" s="1185"/>
      <c r="I31" s="1185"/>
      <c r="J31" s="1185"/>
      <c r="K31" s="1124"/>
      <c r="L31" s="1102"/>
      <c r="M31" s="1102"/>
      <c r="N31" s="1170"/>
    </row>
    <row r="32" spans="1:14" ht="13.5" thickBot="1" x14ac:dyDescent="0.25">
      <c r="A32" s="1181" t="s">
        <v>224</v>
      </c>
      <c r="B32" s="1182"/>
      <c r="C32" s="1182"/>
      <c r="D32" s="1182"/>
      <c r="E32" s="1182"/>
      <c r="F32" s="1182"/>
      <c r="G32" s="1182"/>
      <c r="H32" s="1182"/>
      <c r="I32" s="1182"/>
      <c r="J32" s="1182"/>
      <c r="K32" s="1125">
        <f>SUM(K30:K31)</f>
        <v>0</v>
      </c>
      <c r="L32" s="1125">
        <f>SUM(L30:L31)</f>
        <v>0</v>
      </c>
      <c r="M32" s="1125">
        <f>SUM(M30:M31)</f>
        <v>0</v>
      </c>
      <c r="N32" s="1170"/>
    </row>
    <row r="33" spans="1:14" x14ac:dyDescent="0.2">
      <c r="N33" s="1126"/>
    </row>
    <row r="48" spans="1:14" x14ac:dyDescent="0.2">
      <c r="A48" s="1127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36</vt:i4>
      </vt:variant>
      <vt:variant>
        <vt:lpstr>Névvel ellátott tartományok</vt:lpstr>
      </vt:variant>
      <vt:variant>
        <vt:i4>14</vt:i4>
      </vt:variant>
    </vt:vector>
  </HeadingPairs>
  <TitlesOfParts>
    <vt:vector size="50" baseType="lpstr">
      <vt:lpstr>1.sz.mell.</vt:lpstr>
      <vt:lpstr>2.1.sz.mell  </vt:lpstr>
      <vt:lpstr>2.2.sz.mell  </vt:lpstr>
      <vt:lpstr>3.1.sz.mell.</vt:lpstr>
      <vt:lpstr>3.2sz.mell.</vt:lpstr>
      <vt:lpstr>4.sz.mell.</vt:lpstr>
      <vt:lpstr>5.1sz. mell.</vt:lpstr>
      <vt:lpstr>5.2sz. mell.</vt:lpstr>
      <vt:lpstr>5.3sz. mell.</vt:lpstr>
      <vt:lpstr>5.4sz. mell.</vt:lpstr>
      <vt:lpstr>5.5sz. mell.</vt:lpstr>
      <vt:lpstr>5.6sz. mell.</vt:lpstr>
      <vt:lpstr>5.7sz. mell.</vt:lpstr>
      <vt:lpstr>5.8sz. mell. </vt:lpstr>
      <vt:lpstr>6. sz. mell</vt:lpstr>
      <vt:lpstr>számoló</vt:lpstr>
      <vt:lpstr>7.1. sz. mell</vt:lpstr>
      <vt:lpstr> 7.2.sz.mell.</vt:lpstr>
      <vt:lpstr>7.3. sz. mell.</vt:lpstr>
      <vt:lpstr>7.4. sz. mell.</vt:lpstr>
      <vt:lpstr>7.5. sz. mell.</vt:lpstr>
      <vt:lpstr>7.6. sz. mell. </vt:lpstr>
      <vt:lpstr>8. sz. mell</vt:lpstr>
      <vt:lpstr>1. tájékoztató tábla </vt:lpstr>
      <vt:lpstr>2. tájékoztató tábla</vt:lpstr>
      <vt:lpstr>3. tájékoztató tábla</vt:lpstr>
      <vt:lpstr>4. tájékoztató tábla </vt:lpstr>
      <vt:lpstr>5.1. tájékoztató tábla</vt:lpstr>
      <vt:lpstr>5.2. tájékoztató tábla</vt:lpstr>
      <vt:lpstr>5.3. tájékoztató tábla</vt:lpstr>
      <vt:lpstr>5.4. tájékoztató tábla</vt:lpstr>
      <vt:lpstr>6. tájékoztató tábla</vt:lpstr>
      <vt:lpstr>7. tájékoztató tábla</vt:lpstr>
      <vt:lpstr>8. tájékoztató tábla</vt:lpstr>
      <vt:lpstr>9. tájékoztató</vt:lpstr>
      <vt:lpstr>10. tájékoztató tábla </vt:lpstr>
      <vt:lpstr>'5.3. tájékoztató tábla'!_ftn1</vt:lpstr>
      <vt:lpstr>'5.3. tájékoztató tábla'!_ftnref1</vt:lpstr>
      <vt:lpstr>' 7.2.sz.mell.'!Nyomtatási_cím</vt:lpstr>
      <vt:lpstr>'5.1. tájékoztató tábla'!Nyomtatási_cím</vt:lpstr>
      <vt:lpstr>'6. sz. mell'!Nyomtatási_cím</vt:lpstr>
      <vt:lpstr>'7.1. sz. mell'!Nyomtatási_cím</vt:lpstr>
      <vt:lpstr>'7.3. sz. mell.'!Nyomtatási_cím</vt:lpstr>
      <vt:lpstr>'7.4. sz. mell.'!Nyomtatási_cím</vt:lpstr>
      <vt:lpstr>'7.5. sz. mell.'!Nyomtatási_cím</vt:lpstr>
      <vt:lpstr>'7.6. sz. mell. '!Nyomtatási_cím</vt:lpstr>
      <vt:lpstr>'1.sz.mell.'!Nyomtatási_terület</vt:lpstr>
      <vt:lpstr>'2.1.sz.mell  '!Nyomtatási_terület</vt:lpstr>
      <vt:lpstr>'5.1. tájékoztató tábla'!Nyomtatási_terület</vt:lpstr>
      <vt:lpstr>'9.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AZ 1997. ÉVI KÖLTSÉGVETÉSI BESZ.</dc:title>
  <dc:subject>TÁBLÁZATOK</dc:subject>
  <dc:creator>Erika</dc:creator>
  <cp:lastModifiedBy>Girus András</cp:lastModifiedBy>
  <cp:lastPrinted>2019-05-24T05:40:27Z</cp:lastPrinted>
  <dcterms:created xsi:type="dcterms:W3CDTF">2003-08-01T08:42:53Z</dcterms:created>
  <dcterms:modified xsi:type="dcterms:W3CDTF">2019-05-24T05:40:50Z</dcterms:modified>
</cp:coreProperties>
</file>